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" sheetId="1" state="visible" r:id="rId3"/>
    <sheet name="Setup" sheetId="2" state="visible" r:id="rId4"/>
    <sheet name="Tool-Portfolio" sheetId="3" state="visible" r:id="rId5"/>
    <sheet name="Schadensfall-Katalog" sheetId="4" state="visible" r:id="rId6"/>
    <sheet name="Sync-Netzwerk" sheetId="5" state="visible" r:id="rId7"/>
    <sheet name="Einzelkosten" sheetId="6" state="visible" r:id="rId8"/>
    <sheet name="Dashboard" sheetId="7" state="visible" r:id="rId9"/>
    <sheet name="Nicht beziffert" sheetId="8" state="visible" r:id="rId10"/>
    <sheet name="Quellen" sheetId="9" state="visible" r:id="rId11"/>
    <sheet name="Glossar" sheetId="10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<sst xmlns="http://schemas.openxmlformats.org/spreadsheetml/2006/main" count="450" uniqueCount="393">
  <si>
    <t xml:space="preserve">Waste-Kalkulator — Was kostet das Tool-Chaos wirklich?</t>
  </si>
  <si>
    <t xml:space="preserve">Quantifiziert in €/Monat, was eine fragmentierte Tool-Landschaft (Jira, Asana, Notion, SAP, Salesforce, …) an Produktivität, Nacharbeit und Kundenstress kostet.</t>
  </si>
  <si>
    <t xml:space="preserve">DAS MODELL — 5 Kostenblöcke</t>
  </si>
  <si>
    <t xml:space="preserve">1. Admin-Overhead in Tools</t>
  </si>
  <si>
    <t xml:space="preserve">Menschen verbringen Zeit IN den Tools. Ein Teil ist Wertschöpfung — ein Teil reine Verwaltung: Status doppelt pflegen, Informationen suchen, Felder abgleichen. Nur dieser Admin-Anteil (je Tool einstellbar) zählt als Kosten.</t>
  </si>
  <si>
    <t xml:space="preserve">2. Sync-Aufwand (direkt)</t>
  </si>
  <si>
    <t xml:space="preserve">Fachleute übertragen Daten manuell zwischen Tools, weil es keine gemeinsame Datenhaltung gibt. Jede Verbindung kostet Stunden pro Woche — zu 100 % unproduktiv.</t>
  </si>
  <si>
    <t xml:space="preserve">3. Leistungsverlust (Kontextwechsel &amp; Frust)</t>
  </si>
  <si>
    <t xml:space="preserve">Jede Sync-Stunde ist zusätzlich Arbeitskraft-Verlust: Die Fachleute werden aus ihrer eigentlichen Arbeit gerissen, brauchen Wiedereinarbeitungszeit und verlieren Motivation. Pro Sync-Stunde geht ein einstellbarer Anteil weiterer produktiver Zeit verloren (Default 30 %).</t>
  </si>
  <si>
    <t xml:space="preserve">4. Nacharbeit aus Daten-Drift — tritt IMMER ein</t>
  </si>
  <si>
    <t xml:space="preserve">Manuell synchronisierte Daten driften auseinander (Default 6 %/Monat). Diese Inkonsistenzen erzeugen IMMER Nacharbeit: suchen, klären, korrigieren, neu abstimmen. Erfahrungswert: der Nachaufwand ist typischerweise das DOPPELTE des gedrifteten Werts (Nacharbeits-Faktor 2×). Hintergrund: 40–50 % des Gesamtaufwands von Projekten sind vermeidbare Nacharbeit; spät gefundene Fehler kosten bis zu 100× mehr als früh gefundene (siehe thomasarends.de, Qualitätskosten in Projekten senken).</t>
  </si>
  <si>
    <t xml:space="preserve">5. Eskalations-Rückstellung (Kundenstress)</t>
  </si>
  <si>
    <t xml:space="preserve">Aus Drift-Fehlern entstehen regelmäßig Kundenstress-Situationen: widersprüchliche Aussagen, falsche Rechnungen, Eskalations-Meetings, Task-Force-Modus. Der Schadensfall-Katalog bestimmt pro Verbindung, welcher Anteil der Drift-Vorfälle eskaliert und wie teuer das wird.</t>
  </si>
  <si>
    <t xml:space="preserve">LESE-REIHENFOLGE</t>
  </si>
  <si>
    <t xml:space="preserve">Schritt 1 — Setup</t>
  </si>
  <si>
    <t xml:space="preserve">Stundensatz, Urlaub, Krankheit und Faktoren prüfen/anpassen. Der Stundensatz ist der zentrale Hebel: JEDER €-Wert ist Stunden × Stundensatz.</t>
  </si>
  <si>
    <t xml:space="preserve">Schritt 2 — Tool-Portfolio</t>
  </si>
  <si>
    <t xml:space="preserve">Eigene Tools eintragen: Personen, Stunden pro Tag, Admin-Anteil.</t>
  </si>
  <si>
    <t xml:space="preserve">Schritt 3 — Sync-Netzwerk</t>
  </si>
  <si>
    <t xml:space="preserve">Alle manuellen Datenübertragungen erfassen: Quelle, Ziel, h/Woche, Schadensfall-Typ.</t>
  </si>
  <si>
    <t xml:space="preserve">Schritt 4 — Dashboard</t>
  </si>
  <si>
    <t xml:space="preserve">Ergebnis: €/Monat und €/Jahr pro Block, dazu die Spalte 'adressierbar' — welcher Teil bei gemeinsamer Datenhaltung tatsaechlich entfaellt. Mit der Zahl wird argumentiert, nicht mit den Gesamt-Chaos-Kosten. Ausserdem Risiko-Sicht und FTE-Verlust.</t>
  </si>
  <si>
    <t xml:space="preserve">FARB-LEGENDE</t>
  </si>
  <si>
    <t xml:space="preserve">Gelber Hintergrund + blaue Schrift</t>
  </si>
  <si>
    <t xml:space="preserve">Eingabezelle — hier eigene Werte eintragen.</t>
  </si>
  <si>
    <t xml:space="preserve">Grauer Hintergrund, schwarze Schrift</t>
  </si>
  <si>
    <t xml:space="preserve">Berechnete Zelle (Formel) — nicht überschreiben.</t>
  </si>
  <si>
    <t xml:space="preserve">Hellblauer Hintergrund, fett</t>
  </si>
  <si>
    <t xml:space="preserve">Summenzeile.</t>
  </si>
  <si>
    <t xml:space="preserve">Roter Hintergrund</t>
  </si>
  <si>
    <t xml:space="preserve">Risiko / Gesamtergebnis.</t>
  </si>
  <si>
    <t xml:space="preserve">Grüne Schrift</t>
  </si>
  <si>
    <t xml:space="preserve">Wert aus einem anderen Blatt verlinkt.</t>
  </si>
  <si>
    <t xml:space="preserve">BEISPIELDATEN</t>
  </si>
  <si>
    <t xml:space="preserve">Alle Blaetter sind mit einem realistischen Beispiel vorbefuellt (5 Tools, 10 Sync-Verbindungen, 20 Mitarbeitende im Bereich, Stundensatz 100 €). Einfach ueberschreiben.</t>
  </si>
  <si>
    <t xml:space="preserve">NEU IN v4</t>
  </si>
  <si>
    <t xml:space="preserve">Setup: Spalten E/F</t>
  </si>
  <si>
    <t xml:space="preserve">Jede Annahme trägt jetzt ihre Herkunft (Studienlage / Erfahrungswert / Annahme / Kundenwert) und die Quelle. Damit ist im Kundengespräch auf einen Blick sichtbar, was Beleg und was Schätzung ist.</t>
  </si>
  <si>
    <t xml:space="preserve">Setup B21</t>
  </si>
  <si>
    <t xml:space="preserve">Neuer Parameter "Minuten je manueller Übertragung" — nötig, um von €/Stunde auf €/Einzelvorfall umzurechnen.</t>
  </si>
  <si>
    <t xml:space="preserve">Schadensfall-Katalog: Spalte E</t>
  </si>
  <si>
    <t xml:space="preserve">Maximalschaden je Einzelfall. Kein Erwartungswert, keine Summe. MUSS je Kunde gesetzt werden — die Platzhalter sind nicht aus dem Modell ableitbar.</t>
  </si>
  <si>
    <t xml:space="preserve">Blatt "Einzelkosten"</t>
  </si>
  <si>
    <t xml:space="preserve">Die drei Stück-Kosten für die Argumentation: € je Sync-Stunde, € je Drift-Vorfall (je Risikoklasse, mit Maximalschaden daneben), € je Tool-Verbindung.</t>
  </si>
  <si>
    <t xml:space="preserve">Blatt "Nicht beziffert"</t>
  </si>
  <si>
    <t xml:space="preserve">Effekte ohne Eurobetrag — Verstärkungsschleife, Silodenken, Fluktuation, Qualitätsverlust, Time-to-Market. Bewusst ohne Zahl.</t>
  </si>
  <si>
    <t xml:space="preserve">Blatt "Quellen"</t>
  </si>
  <si>
    <t xml:space="preserve">Jede zitierbare Aussage mit Quelle, Belastbarkeit und Zitierregel.</t>
  </si>
  <si>
    <t xml:space="preserve">Dashboard Zeilen 27–29</t>
  </si>
  <si>
    <t xml:space="preserve">Maximalschaden-Sicht neben der Erwartungswert-Rechnung.</t>
  </si>
  <si>
    <t xml:space="preserve">Setup — Basis-Annahmen</t>
  </si>
  <si>
    <t xml:space="preserve">Gelbe Zellen anpassen; jede Annahme ist rechts begründet. Graue Zellen werden berechnet.</t>
  </si>
  <si>
    <t xml:space="preserve">Parameter</t>
  </si>
  <si>
    <t xml:space="preserve">Wert</t>
  </si>
  <si>
    <t xml:space="preserve">Einheit</t>
  </si>
  <si>
    <t xml:space="preserve">Beschreibung &amp; Begründung</t>
  </si>
  <si>
    <t xml:space="preserve">Herkunft der Annahme</t>
  </si>
  <si>
    <t xml:space="preserve">Quelle / Beleg</t>
  </si>
  <si>
    <t xml:space="preserve">Stundensatz (voll belastet)</t>
  </si>
  <si>
    <t xml:space="preserve">€/h</t>
  </si>
  <si>
    <t xml:space="preserve">Vollkostensatz einer Fachkraft: Bruttogehalt + Lohnnebenkosten + Arbeitsplatz + IT + anteiliger Overhead. Faustregel: 1,6–1,8 × Bruttostundenlohn. ZENTRALER HEBEL: jeder €-Wert im Modell ist Stunden × dieser Satz.</t>
  </si>
  <si>
    <t xml:space="preserve">Kundenwert</t>
  </si>
  <si>
    <t xml:space="preserve">Vom Kunden zu setzen. Faustregel 1,6–1,8 × Bruttostundenlohn.</t>
  </si>
  <si>
    <t xml:space="preserve">Urlaubstage pro Jahr</t>
  </si>
  <si>
    <t xml:space="preserve">Tage</t>
  </si>
  <si>
    <t xml:space="preserve">Tarif-/vertragliche Urlaubstage pro Mitarbeiter und Jahr. Reduziert die real verfügbaren Arbeitstage — die fixen Sync- und Verwaltungslasten verteilen sich auf weniger Anwesenheit, die Kosten je produktiver Stunde steigen.</t>
  </si>
  <si>
    <t xml:space="preserve">Tarif-/Arbeitsvertrag des Kunden.</t>
  </si>
  <si>
    <t xml:space="preserve">Krankheitstage pro Jahr</t>
  </si>
  <si>
    <t xml:space="preserve">Durchschnittliche Arbeitsunfähigkeitstage pro Mitarbeiter und Jahr (deutscher Branchenschnitt liegt bei ca. 15 AU-Tagen). Wirkt wie Urlaub: weniger verfügbare Tage bei gleicher Chaos-Last.</t>
  </si>
  <si>
    <t xml:space="preserve">Statistik</t>
  </si>
  <si>
    <t xml:space="preserve">Deutscher Branchenschnitt ca. 15 AU-Tage/Jahr.</t>
  </si>
  <si>
    <t xml:space="preserve">Arbeitstage pro Monat (berechnet)</t>
  </si>
  <si>
    <t xml:space="preserve">BERECHNET: (260 Arbeitstage/Jahr − Urlaub − Krankheit) ÷ 12. Mit den Defaults: (260−30−15)/12 = 17,9 real verfügbare Tage pro Monat. Diese Zahl geht in alle Monats-Umrechnungen des Tool-Portfolios und ins FTE-Äquivalent ein.</t>
  </si>
  <si>
    <t xml:space="preserve">BERECHNET</t>
  </si>
  <si>
    <t xml:space="preserve">Formel: (260 − Urlaub − Krankheit) ÷ 12.</t>
  </si>
  <si>
    <t xml:space="preserve">Wochen pro Monat</t>
  </si>
  <si>
    <t xml:space="preserve">Wochen</t>
  </si>
  <si>
    <t xml:space="preserve">Umrechnungsfaktor für Wochen-Angaben im Sync-Netzwerk: 52 ÷ 12 = 4,33.</t>
  </si>
  <si>
    <t xml:space="preserve">Rechenkonstante</t>
  </si>
  <si>
    <t xml:space="preserve">52 ÷ 12 = 4,33.</t>
  </si>
  <si>
    <t xml:space="preserve">Daten-Drift pro Monat</t>
  </si>
  <si>
    <t xml:space="preserve">%/Monat</t>
  </si>
  <si>
    <t xml:space="preserve">Anteil der manuell synchronisierten Daten, der pro Monat inkonsistent wird (vergessene Updates, Tippfehler, Zeitversatz). 6 % ist konservativ; bei hoher Änderungsfrequenz eher 10–15 %.</t>
  </si>
  <si>
    <t xml:space="preserve">Erfahrungswert</t>
  </si>
  <si>
    <t xml:space="preserve">Nicht studienbelegt. 6 % konservativ; bei hoher Änderungsfrequenz 10–15 %. Im Kundengespräch offen als Schätzung benennen.</t>
  </si>
  <si>
    <t xml:space="preserve">Nacharbeits-Faktor</t>
  </si>
  <si>
    <t xml:space="preserve">× Drift-Wert</t>
  </si>
  <si>
    <t xml:space="preserve">Drift-Fehler erzeugen IMMER Nacharbeit: suchen, klären, korrigieren, neu abstimmen. Erfahrungswert: der Nachaufwand ist typischerweise das DOPPELTE des gedrifteten Werts. Deckt sich mit Studienlage: 40–50 % des Projekt-Gesamtaufwands sind vermeidbare Nacharbeit; spät entdeckte Fehler kosten bis zu 100× mehr (Quelle: thomasarends.de/qualitaetskosten-in-projekten-senken-2).</t>
  </si>
  <si>
    <t xml:space="preserve">Studienlage</t>
  </si>
  <si>
    <t xml:space="preserve">Leffingwell 1997 / Wiegers: 40–50 % des Projektaufwands sind vermeidbare Nacharbeit, Anforderungsfehler verursachen 70–85 % davon. Der Faktor 2× ist die Übersetzung davon, nicht der Studienwert selbst.</t>
  </si>
  <si>
    <t xml:space="preserve">Kontextwechsel-/Frustfaktor</t>
  </si>
  <si>
    <t xml:space="preserve">% je Sync-h</t>
  </si>
  <si>
    <t xml:space="preserve">Jede Sync-Stunde ist gleichzeitig Arbeitskraft-Verlust: Die Fachkraft wird aus der eigentlichen Arbeit gerissen (Wiedereinarbeitung, Rüstzeit) und verliert Motivation durch stumpfe Doppelpflege. Pro Sync-Stunde geht dieser Anteil ZUSÄTZLICHER produktiver Zeit verloren. 30 % ist der untere Rand der Kontextwechsel-Forschung (20–40 %); Frust/Qualitätsverlust kommt real obendrauf.</t>
  </si>
  <si>
    <t xml:space="preserve">NICHT durch die HBR-Studie gedeckt — die misst 9 % der Jahresarbeitszeit bei ~2 s je Fensterwechsel, eine andere Bezugsgröße. 30 % ist der untere Rand der Kontextwechsel-Forschung (20–40 %). Als eigene Annahme kennzeichnen.</t>
  </si>
  <si>
    <t xml:space="preserve">Stunden pro Arbeitstag</t>
  </si>
  <si>
    <t xml:space="preserve">h</t>
  </si>
  <si>
    <t xml:space="preserve">Regelarbeitszeit. Für das FTE-Äquivalent: Monatsstunden einer Vollzeitkraft = Arbeitstage × 8.</t>
  </si>
  <si>
    <t xml:space="preserve">Regelarbeitszeit.</t>
  </si>
  <si>
    <t xml:space="preserve">Mitarbeitende gesamt (Bereich)</t>
  </si>
  <si>
    <t xml:space="preserve">Personen</t>
  </si>
  <si>
    <t xml:space="preserve">Gesamtzahl der Mitarbeitenden im betrachteten Bereich. Wird im Dashboard genutzt, um den FTE-Verlust ins Verhaeltnis zu setzen ("X von Y Vollzeitstellen arbeiten nur als menschliche Middleware"). Im Beispiel 20. Achtung: die Personen-Spalte im Tool-Portfolio summiert sich auf 27, weil dieselben Menschen mehrere Tools bedienen — hier die reale Kopfzahl des Bereichs eintragen, nicht die Tool-Summe.</t>
  </si>
  <si>
    <t xml:space="preserve">Reale Kopfzahl des Bereichs, NICHT die Personen-Summe aus dem Tool-Portfolio.</t>
  </si>
  <si>
    <t xml:space="preserve">Adressierbarer Anteil Admin-Overhead (Block 1)</t>
  </si>
  <si>
    <t xml:space="preserve">% von Block 1</t>
  </si>
  <si>
    <t xml:space="preserve">ANNAHME: Anteil des Admin-Overheads, der bei gemeinsamer Datenhaltung entfaellt. Block 1 verschwindet NICHT vollstaendig — Pflege von Inhalten bleibt. Was entfaellt, ist Doppelpflege, Feld-Abgleich und Suchen ueber Tool-Grenzen. Default 50 %: der Admin-Anteil im Beispiel liegt bei 20–35 %; nach Konsolidierung realistisch 10–15 %. Konservativ waehlen — diese Zahl ist der am staerksten angreifbare Punkt der ganzen Rechnung und gehoert im Kundengespraech offen auf den Tisch.</t>
  </si>
  <si>
    <t xml:space="preserve">Annahme</t>
  </si>
  <si>
    <t xml:space="preserve">Der am stärksten angreifbare Wert des Modells. Im Kundengespräch zuerst selbst nennen.</t>
  </si>
  <si>
    <t xml:space="preserve">Adressierbarer Anteil Bloecke 2–5</t>
  </si>
  <si>
    <t xml:space="preserve">% von 2–5</t>
  </si>
  <si>
    <t xml:space="preserve">Sync-Aufwand, Kontextwechsel, Nacharbeit aus Drift und Eskalations-Rueckstellung entfallen bei gemeinsamer Datenhaltung vollstaendig — es gibt nichts mehr manuell zu uebertragen, also auch keinen Drift und keine Drift-Folge. Default 100 %. Auf &lt; 100 % setzen, wenn einzelne Verbindungen zu Fremdsystemen ausserhalb der Plattform bestehen bleiben.</t>
  </si>
  <si>
    <t xml:space="preserve">Auf &lt; 100 % setzen, wenn Verbindungen zu Fremdsystemen bestehen bleiben.</t>
  </si>
  <si>
    <t xml:space="preserve">ⓘ Zell-Referenzen fuer Formeln: B5 Stundensatz · B6 Urlaub · B7 Krankheit · B8 Arbeitstage/Monat (berechnet) · B9 Wochen/Monat · B10 Drift · B11 Nacharbeits-Faktor · B12 Frustfaktor · B13 h/Tag · B14 Mitarbeitende gesamt · B15 adressierbarer Anteil Block 1 · B16 adressierbarer Anteil Bloecke 2–5.</t>
  </si>
  <si>
    <t xml:space="preserve">ZUSATZ-PARAMETER (v4)</t>
  </si>
  <si>
    <t xml:space="preserve">Minuten je manueller Übertragung</t>
  </si>
  <si>
    <t xml:space="preserve">min</t>
  </si>
  <si>
    <t xml:space="preserve">Wie lange dauert EINE manuelle Datenübertragung im Schnitt? Nur nötig, um von €/Stunde auf €/Einzelvorgang umzurechnen (Blatt Einzelkosten). Wichtig: Dieser Wert verschiebt NUR die Aufteilung zwischen "Anzahl Vorfälle" und "Kosten je Vorfall" — die Gesamtsumme bleibt unverändert. Halbierung des Werts halbiert die Kosten je Vorfall und verdoppelt die Vorfallzahl.</t>
  </si>
  <si>
    <t xml:space="preserve">Nicht studienbelegt. Für die Gesamtaussage unkritisch, für die Einzelkosten-Zahl bestimmend — deshalb im Post immer mitnennen.</t>
  </si>
  <si>
    <t xml:space="preserve">ⓘ Zell-Referenzen: B5 Stundensatz · B6 Urlaub · B7 Krankheit · B8 Arbeitstage/Monat · B9 Wochen/Monat · B10 Drift · B11 Nacharbeits-Faktor · B12 Frustfaktor · B13 h/Tag · B14 Mitarbeitende · B15/B16 adressierbare Anteile · B21 Minuten je Übertragung (neu in v4).   ⚠ Spalte E trennt Beleg von Behauptung: "Studienlage" ist belegt, "Erfahrungswert" und "Annahme" sind es NICHT. Wer im Kundengespräch eine Annahme als Studie verkauft, verliert beim Nachfragen die ganze Rechnung.</t>
  </si>
  <si>
    <t xml:space="preserve">Tool-Portfolio — Kostenblock 1: Admin-Overhead in den Tools</t>
  </si>
  <si>
    <t xml:space="preserve">Pro Tool: Personen, Stunden pro Tag, Admin-Anteil. Nur der Verwaltungsanteil zählt als Kosten — die produktive Zeit nicht.</t>
  </si>
  <si>
    <t xml:space="preserve">Tool</t>
  </si>
  <si>
    <t xml:space="preserve">Einsatzzweck</t>
  </si>
  <si>
    <t xml:space="preserve">h pro Person / Tag</t>
  </si>
  <si>
    <t xml:space="preserve">Admin-Anteil</t>
  </si>
  <si>
    <t xml:space="preserve">Gesamt h / Monat</t>
  </si>
  <si>
    <t xml:space="preserve">Admin h / Monat</t>
  </si>
  <si>
    <t xml:space="preserve">Admin € / Monat</t>
  </si>
  <si>
    <t xml:space="preserve">Erläuterung Admin-Anteil</t>
  </si>
  <si>
    <t xml:space="preserve">Jira</t>
  </si>
  <si>
    <t xml:space="preserve">Ticket- &amp; Sprint-Verwaltung Entwicklung</t>
  </si>
  <si>
    <t xml:space="preserve">Status-Doppelpflege mit Asana/Notion, Ticket-Suche über Projekte hinweg, Board-Hygiene, Verlinkungen manuell nachziehen.</t>
  </si>
  <si>
    <t xml:space="preserve">Asana</t>
  </si>
  <si>
    <t xml:space="preserve">Projekt- &amp; Aufgabenmanagement Fachbereiche</t>
  </si>
  <si>
    <t xml:space="preserve">Aufgaben aus Jira manuell nachbilden, Fälligkeiten abgleichen, doppelte Statusmeldungen an Stakeholder.</t>
  </si>
  <si>
    <t xml:space="preserve">Notion</t>
  </si>
  <si>
    <t xml:space="preserve">Wissensbasis &amp; Doku</t>
  </si>
  <si>
    <t xml:space="preserve">Doku hinterherpflegen, veraltete Seiten identifizieren, Inhalte aus Jira/Asana manuell übertragen.</t>
  </si>
  <si>
    <t xml:space="preserve">SAP</t>
  </si>
  <si>
    <t xml:space="preserve">ERP: Buchhaltung, Bestellung, Stammdaten</t>
  </si>
  <si>
    <t xml:space="preserve">Stammdaten-Abgleich mit Salesforce, manuelle Nachbuchungen bei abweichenden Kundendaten, Korrektur-Belege.</t>
  </si>
  <si>
    <t xml:space="preserve">Salesforce</t>
  </si>
  <si>
    <t xml:space="preserve">CRM: Kunden, Opportunities, Angebote</t>
  </si>
  <si>
    <t xml:space="preserve">Kundendaten mit SAP synchron halten, Opportunity-Status in Jira/Asana spiegeln, Reports manuell konsolidieren.</t>
  </si>
  <si>
    <t xml:space="preserve">SUMME Kostenblock 1</t>
  </si>
  <si>
    <t xml:space="preserve">Geht als Block 1 ins Dashboard.</t>
  </si>
  <si>
    <t xml:space="preserve">ⓘ Rechenweg: Gesamt h/Monat = Personen × h/Tag × Arbeitstage (Setup B8, bereits um Urlaub + Krankheit bereinigt). Admin h = Gesamt × Admin-Anteil. Admin € = Admin h × Stundensatz. Die restliche Zeit ist Wertschöpfung und zählt NICHT als Kosten — konservativ und verteidigbar.</t>
  </si>
  <si>
    <t xml:space="preserve">Schadensfall-Katalog — Eskalationsklassen für Drift-Fehler</t>
  </si>
  <si>
    <t xml:space="preserve">Aus Drift-Fehlern entstehen IMMER Störungen — die Nacharbeit (2× Drift-Wert) fällt bei jedem Typ an. Dieser Katalog steuert ZUSÄTZLICH, welcher Anteil der Vorfälle zu Eskalation/Kundenstress wird und wie teuer das ist.</t>
  </si>
  <si>
    <t xml:space="preserve">Typ</t>
  </si>
  <si>
    <t xml:space="preserve">Eskalations-Anteil der Drift-Vorfälle</t>
  </si>
  <si>
    <t xml:space="preserve">Schadens-Multiplikator</t>
  </si>
  <si>
    <t xml:space="preserve">Beschreibung — wann gilt dieser Typ, was passiert bei Eskalation?</t>
  </si>
  <si>
    <t xml:space="preserve">Maximalschaden je Einzelfall (KEINE Summenbildung)</t>
  </si>
  <si>
    <t xml:space="preserve">Was ist der schlimmste plausible Einzelfall?</t>
  </si>
  <si>
    <t xml:space="preserve">Intern</t>
  </si>
  <si>
    <t xml:space="preserve">Rein interne Arbeitsdaten ohne direkte Außenwirkung. Auch hier eskaliert jeder 10. Drift-Vorfall: Meetings zur Klärung "welche Zahl stimmt denn nun", Schuldzuweisungen zwischen Teams, Vertrauensverlust in die eigenen Daten. Multiplikator 1: Eskalationskosten ≈ Drift-Wert.</t>
  </si>
  <si>
    <t xml:space="preserve">Mehrtägiger Klärungszyklus über mehrere Abteilungen, Fehlentscheidung auf veralteter Datenbasis, die zurückgedreht werden muss.</t>
  </si>
  <si>
    <t xml:space="preserve">Reputational</t>
  </si>
  <si>
    <t xml:space="preserve">Kunde oder Partner erhält widersprüchliche Informationen (Projektstatus, Liefertermin, Zusage). Erfahrungswert: der Großteil dieser Drift-Fälle wird beim Kunden sichtbar — Eskalations-Meetings, Rechtfertigung, Sonder-Reports, Vertrauensreparatur. Multiplikator 3.</t>
  </si>
  <si>
    <t xml:space="preserve">Kunde storniert oder verlangt Kompensation, verlorener Folgeauftrag, Konventionalstrafe wegen zugesagtem Termin auf falscher Statusbasis.</t>
  </si>
  <si>
    <t xml:space="preserve">Finance</t>
  </si>
  <si>
    <t xml:space="preserve">Abweichende Kunden-/Auftragsdaten → falsche Rechnungen, Mahnläufe gegen bezahlte Rechnungen, Nachbuchungen, Audit-Findings. Jeder zweite Drift-Vorfall an Finanzdaten wird zum echten Korrekturfall — inkl. Kunde am Telefon. Multiplikator 5 (Korrektur + Wirtschaftsprüfer + Kundenstress).</t>
  </si>
  <si>
    <t xml:space="preserve">Prüfungsfeststellung mit Rückwirkung auf den Jahresabschluss, Korrekturläufe über mehrere Perioden, Nachbuchungen inkl. Zinsen.</t>
  </si>
  <si>
    <t xml:space="preserve">Pharma / Regulatorik</t>
  </si>
  <si>
    <t xml:space="preserve">Dokumentationspflichtige Daten (GxP, ISO 13485, Zulassung) weichen ab. Eskaliert seltener spontan, aber jedes Audit findet Drift zuverlässig: CAPA-Prozess, Behörden-Kommunikation, Re-Dokumentation. Multiplikator 10.</t>
  </si>
  <si>
    <t xml:space="preserve">Chargensperre, CAPA-Verfahren, Behördenauflage, verzögerte oder entzogene Zulassung.</t>
  </si>
  <si>
    <t xml:space="preserve">Safety-Critical</t>
  </si>
  <si>
    <t xml:space="preserve">Sicherheitsrelevante Anforderungen oder Prüf-Nachweise (ISO 26262, IEC 61508) inkonsistent. Eskalation = Re-Qualifikation, Task-Force, im Ernstfall Rückruf und Haftung. Späte Entdeckung kostet bis zu 100× — Multiplikator 20 ist hier konservativ.</t>
  </si>
  <si>
    <t xml:space="preserve">Feldmaßnahme/Rückruf plus Produkthaftung. Größenordnungs-Anker: Mars Climate Orbiter ~125 Mio. $ (Orbiter) durch eine nicht abgeglichene Einheiten-Konvention zwischen zwei Organisationen.</t>
  </si>
  <si>
    <t xml:space="preserve">ⓘ Rechenweg Eskalations-Rückstellung (pro Sync-Verbindung): Drift-Wert €/Monat × Eskalations-Anteil × Schadens-Multiplikator. Der Drift-Wert selbst ist Sync-€ × Drift-Rate (Setup). Die Nacharbeit (Drift-Wert × 2) läuft davon UNABHÄNGIG immer mit — es gibt keinen Drift ohne Nachaufwand. Grundlage: 40–50 % des Projekt-Gesamtaufwands sind vermeidbare Nacharbeit; 1-10-100-Regel für späte Fehlerentdeckung (thomasarends.de, Qualitätskosten in Projekten senken).</t>
  </si>
  <si>
    <t xml:space="preserve">⚠ ZWEI ZAHLEN, ZWEI ZWECKE — Spalten B/C vs. Spalte E.  Die Spalten B und C erzeugen einen ERWARTUNGSWERT (Wahrscheinlichkeit × Schaden), der über viele Vorfälle gemittelt ist. Er ist richtig für die Rückstellung und für jede Summenbildung. Er beschreibt aber KEINEN realen Einzelfall: der Multiplikator 20 bei Safety-Critical mischt den häufigen Fall (Re-Qualifikation, einige tausend Euro) mit dem seltenen (Rückruf, Haftung, Millionen).  Spalte E ist deshalb der schlimmste PLAUSIBLE Einzelfall — kein Mittelwert, kein Produkt, keine Summe. Sie geht in keine einzige Summenformel dieser Datei ein und erscheint im Dashboard als Maximum. Grund: Pflicht 4 der Methode verlangt das schwächste Glied OHNE Mittelwert-Lüge; ein reiner Erwartungswert verletzt genau das. Funktionale Sicherheit rechnet aus demselben Grund nicht mit Erwartungswerten — ISO 26262 klassifiziert (S/E/C → ASIL) und leitet Pflichtmaßnahmen ab, unabhängig vom erwarteten Schaden.  Die Werte in Spalte E sind Platzhalter und MÜSSEN je Kunde gesetzt werden. Sie sind aus dem Modell nicht ableitbar — sie sind eine Aussage des Kunden über sein eigenes Geschäft.</t>
  </si>
  <si>
    <t xml:space="preserve">Sync-Netzwerk — Kostenblöcke 2, 4 und 5</t>
  </si>
  <si>
    <t xml:space="preserve">Jede Zeile = eine manuelle Datenübertragung. Aus dem direkten Aufwand (Block 2) entstehen Drift → Nacharbeit (Block 4, IMMER) → Eskalation/Kundenstress (Block 5).</t>
  </si>
  <si>
    <t xml:space="preserve">Nr</t>
  </si>
  <si>
    <t xml:space="preserve">Quelle</t>
  </si>
  <si>
    <t xml:space="preserve">Ziel</t>
  </si>
  <si>
    <t xml:space="preserve">Was wird manuell übertragen?</t>
  </si>
  <si>
    <t xml:space="preserve">h / Woche</t>
  </si>
  <si>
    <t xml:space="preserve">h / Monat</t>
  </si>
  <si>
    <t xml:space="preserve">Sync € / Monat</t>
  </si>
  <si>
    <t xml:space="preserve">Schadensfall-Typ</t>
  </si>
  <si>
    <t xml:space="preserve">Drift-Wert € / Monat</t>
  </si>
  <si>
    <t xml:space="preserve">Nacharbeit € / Monat</t>
  </si>
  <si>
    <t xml:space="preserve">Eskalation € / Monat</t>
  </si>
  <si>
    <t xml:space="preserve">Erläuterung</t>
  </si>
  <si>
    <t xml:space="preserve">Maximalschaden Einzelfall (aus Katalog)</t>
  </si>
  <si>
    <t xml:space="preserve">Sprint-Status und Ticket-Fortschritt für Fachbereichs-Sicht nachpflegen.</t>
  </si>
  <si>
    <t xml:space="preserve">Interne Statusdaten — Drift erzeugt Klärungs-Meetings und Doppelarbeit.</t>
  </si>
  <si>
    <t xml:space="preserve">Release-Notes und technische Entscheidungen in die Wissensbasis übertragen.</t>
  </si>
  <si>
    <t xml:space="preserve">Doku-Drift kostet Suchzeit und produziert Entscheidungen auf veralteter Basis.</t>
  </si>
  <si>
    <t xml:space="preserve">Entwicklungsstatus kundenbezogener Features für den Vertrieb spiegeln.</t>
  </si>
  <si>
    <t xml:space="preserve">Vertrieb kommuniziert Liefertermine — veralteter Status = falsche Kundenzusage.</t>
  </si>
  <si>
    <t xml:space="preserve">Fachbereichs-Anforderungen als Entwicklungs-Tickets anlegen.</t>
  </si>
  <si>
    <t xml:space="preserve">Interner Rückkanal; Drift = verlorene oder doppelte Anforderungen.</t>
  </si>
  <si>
    <t xml:space="preserve">Projektentscheidungen und Meilensteine dokumentieren.</t>
  </si>
  <si>
    <t xml:space="preserve">Reine Doku-Pflege; Drift = veraltete Entscheidungsgrundlagen.</t>
  </si>
  <si>
    <t xml:space="preserve">Spezifikations-Änderungen in betroffene Tickets einarbeiten.</t>
  </si>
  <si>
    <t xml:space="preserve">Drift = Entwicklung baut gegen veraltete Spezifikation.</t>
  </si>
  <si>
    <t xml:space="preserve">Prozess-Änderungen in laufende Aufgabenpläne übernehmen.</t>
  </si>
  <si>
    <t xml:space="preserve">Interner Abgleich; Drift = Teams arbeiten nach altem Prozess.</t>
  </si>
  <si>
    <t xml:space="preserve">Produkt-/Leistungsbeschreibungen für Angebote aktuell halten.</t>
  </si>
  <si>
    <t xml:space="preserve">Veraltete Leistungsbeschreibung landet direkt im Kundenangebot.</t>
  </si>
  <si>
    <t xml:space="preserve">Kundenzusagen und Eskalationen als priorisierte Tickets erfassen.</t>
  </si>
  <si>
    <t xml:space="preserve">Verlorene Kundenzusage = Eskalation beim Kunden, Task-Force-Gefahr.</t>
  </si>
  <si>
    <t xml:space="preserve">Kunden-Stammdaten, Aufträge und Konditionen für Fakturierung abgleichen.</t>
  </si>
  <si>
    <t xml:space="preserve">Abweichende Stammdaten → falsche Rechnungen, Mahnläufe, Audit-Findings.</t>
  </si>
  <si>
    <t xml:space="preserve">SUMME</t>
  </si>
  <si>
    <t xml:space="preserve">G → Block 2 · J → Block 4 · K → Block 5 im Dashboard.  ⚠ M16 ist ein MAXIMUM, keine Summe — Maximalschäden werden nicht addiert.</t>
  </si>
  <si>
    <t xml:space="preserve">ⓘ Rechenweg pro Zeile: h/Monat = h/Woche × 4,33. Sync € = h × Stundensatz. Drift-Wert = Sync-€ × Drift-Rate (Setup). Nacharbeit = Drift-Wert × Nacharbeits-Faktor (2×, tritt IMMER ein). Eskalation = Drift-Wert × Eskalations-Anteil × Multiplikator (beide per Typ aus Schadensfall-Katalog; Typ-Name muss exakt stimmen, sonst 0 €). Der Leistungsverlust durch Kontextwechsel/Frust (Block 3) wird im Dashboard auf die Sync-Stunden-Summe gerechnet.  ⚠ Modellgrenze: die Drift-Menge wird ueber die Sync-STUNDEN geschaetzt, nicht ueber die Zahl der uebertragenen Datensaetze. Das ist ein Proxy — er unterschaetzt Verbindungen mit wenig Zeitaufwand und grossem Datenvolumen (Stammdaten-Massenpflege) und ueberschaetzt zeitintensive Einzelfaelle. Bei Kunden mit hohem Datenvolumen je Sync-Stunde die Drift-Rate im Setup nach oben korrigieren statt die Stunden zu frisieren.</t>
  </si>
  <si>
    <t xml:space="preserve">Einzelkosten — die Zahlen für die Argumentation</t>
  </si>
  <si>
    <t xml:space="preserve">Aus den Gesamtkosten abgeleitete Stück-Kosten. Das sind die Zahlen, mit denen man kommuniziert — die Gesamtsumme ist Kontext.</t>
  </si>
  <si>
    <t xml:space="preserve">A — KOSTEN JE SYNC-STUNDE</t>
  </si>
  <si>
    <t xml:space="preserve">Bestandteil</t>
  </si>
  <si>
    <t xml:space="preserve">€ / Sync-Stunde</t>
  </si>
  <si>
    <t xml:space="preserve">Rechenweg</t>
  </si>
  <si>
    <t xml:space="preserve">Direkte Arbeitszeit</t>
  </si>
  <si>
    <t xml:space="preserve">Der Stundensatz selbst. Es entsteht keine neue Information — vorhandene wird kopiert.</t>
  </si>
  <si>
    <t xml:space="preserve">Kontextwechsel- / Frustverlust</t>
  </si>
  <si>
    <t xml:space="preserve">Stundensatz × Frustfaktor (Setup B12). ANNAHME, nicht studienbelegt.</t>
  </si>
  <si>
    <t xml:space="preserve">Nacharbeit aus Drift</t>
  </si>
  <si>
    <t xml:space="preserve">Stundensatz × Driftrate × Nacharbeits-Faktor.</t>
  </si>
  <si>
    <t xml:space="preserve">Eskalations-Rückstellung (Ist-Mix)</t>
  </si>
  <si>
    <t xml:space="preserve">Eskalations-Summe ÷ Sync-Stunden. Hängt vom Risiko-Mix der erfassten Verbindungen ab, nicht vom Stundensatz.</t>
  </si>
  <si>
    <t xml:space="preserve">KOSTEN JE SYNC-STUNDE</t>
  </si>
  <si>
    <t xml:space="preserve">Kernaussage: Die Fachkraft kostet den Stundensatz. Die Stunde, in der sie Daten von A nach B trägt, kostet diesen Betrag.</t>
  </si>
  <si>
    <t xml:space="preserve">B — KOSTEN JE EINZELNEM DRIFT-VORFALL</t>
  </si>
  <si>
    <t xml:space="preserve">Wert einer manuellen Übertragung</t>
  </si>
  <si>
    <t xml:space="preserve">Minuten je Übertragung (Setup B21) ÷ 60 × Stundensatz.</t>
  </si>
  <si>
    <t xml:space="preserve">Übertragungen / Monat</t>
  </si>
  <si>
    <t xml:space="preserve">Sync-Stunden × Übertragungen je Stunde.</t>
  </si>
  <si>
    <t xml:space="preserve">davon fehlerhaft (Drift-Vorfälle / Monat)</t>
  </si>
  <si>
    <t xml:space="preserve">Übertragungen × Driftrate (Setup B10).</t>
  </si>
  <si>
    <t xml:space="preserve">Risikoklasse</t>
  </si>
  <si>
    <t xml:space="preserve">Nacharbeit je Fehler</t>
  </si>
  <si>
    <t xml:space="preserve">Eskalation (Erwartungswert)</t>
  </si>
  <si>
    <t xml:space="preserve">EINZELKOSTEN je Fehler</t>
  </si>
  <si>
    <t xml:space="preserve">Maximalschaden Einzelfall</t>
  </si>
  <si>
    <t xml:space="preserve">Lesart</t>
  </si>
  <si>
    <t xml:space="preserve">Der Erwartungswert ist hier fast die ganze Wahrheit — die Verteilung ist schmal.</t>
  </si>
  <si>
    <t xml:space="preserve">Erwartungswert und Maximalschaden liegen bereits um Faktor 100+ auseinander.</t>
  </si>
  <si>
    <t xml:space="preserve">Der Maximalschaden entsteht nicht durch den Fehler, sondern durch seine Rückwirkung auf abgeschlossene Perioden.</t>
  </si>
  <si>
    <t xml:space="preserve">Eskaliert seltener spontan — aber jedes Audit findet Drift zuverlässig.</t>
  </si>
  <si>
    <t xml:space="preserve">Hier ist der Erwartungswert als alleinige Zahl gefährlich: er ist rund fünfstellig kleiner als der Maximalschaden.</t>
  </si>
  <si>
    <t xml:space="preserve">Durchschnitt über den erfassten Ist-Mix</t>
  </si>
  <si>
    <t xml:space="preserve">Kreuzprobe: (Nacharbeit + Eskalation) ÷ Drift-Vorfälle. Muss zwischen den Klassenwerten oben liegen.</t>
  </si>
  <si>
    <t xml:space="preserve">C — KOSTEN JE MANUELLER TOOL-VERBINDUNG</t>
  </si>
  <si>
    <t xml:space="preserve">Erfasste Verbindungen</t>
  </si>
  <si>
    <t xml:space="preserve">Anzahl Zeilen im Sync-Netzwerk.</t>
  </si>
  <si>
    <t xml:space="preserve">Kosten je Verbindung / Monat</t>
  </si>
  <si>
    <t xml:space="preserve">Blöcke 2–5 ÷ Anzahl Verbindungen. Block 1 bleibt außen vor — er hängt am Tool, nicht an der Verbindung.</t>
  </si>
  <si>
    <t xml:space="preserve">Kosten je Verbindung / Jahr</t>
  </si>
  <si>
    <t xml:space="preserve">Die Zahl für die Skalierungs-Aussage: n Tools erlauben n×(n−1) Verbindungen.</t>
  </si>
  <si>
    <t xml:space="preserve">ⓘ Welche Zahl wofür:  B10 (€/Sync-Stunde) = die sauberste Einzelkosten-Zahl, sie braucht keine Zusatzannahme.  D18:D22 (€/Fehler) = die plakativste, sie hängt aber an Setup B21 (Minuten je Übertragung) — diese Annahme immer mitnennen.  E18:E22 (Maximalschaden) = die Entscheidungszahl; NIE addieren, NIE mit der Vorfallzahl multiplizieren.  B28 (€/Verbindung/Jahr) = die Skalierungszahl.  Regel für jede Kommunikation: Erwartungswert und Maximalschaden immer als PAAR nennen. Der erste darf summiert werden, der zweite muss benannt werden.</t>
  </si>
  <si>
    <t xml:space="preserve">Dashboard — Was kostet das Tool-Chaos?</t>
  </si>
  <si>
    <t xml:space="preserve">Executive Summary. Alle Werte live berechnet aus Setup, Tool-Portfolio, Sync-Netzwerk und Schadensfall-Katalog.</t>
  </si>
  <si>
    <t xml:space="preserve">Kostenblock</t>
  </si>
  <si>
    <t xml:space="preserve">€ / Monat</t>
  </si>
  <si>
    <t xml:space="preserve">€ / Jahr</t>
  </si>
  <si>
    <t xml:space="preserve">davon adressierbar</t>
  </si>
  <si>
    <t xml:space="preserve">Einsparpotenzial € / Monat</t>
  </si>
  <si>
    <t xml:space="preserve">Einsparpotenzial € / Jahr</t>
  </si>
  <si>
    <t xml:space="preserve">Woher kommt der Wert? (Rechenweg)</t>
  </si>
  <si>
    <t xml:space="preserve">Summe Tool-Portfolio: Personen × h/Tag × reale Arbeitstage (um Urlaub/Krankheit bereinigt) × Admin-Anteil × Stundensatz. ADRESSIERBAR: nur der Anteil laut Setup B15 (Default 50 %) — Doppelpflege und Suchen ueber Tool-Grenzen entfallen, inhaltliche Pflege bleibt.</t>
  </si>
  <si>
    <t xml:space="preserve">Summe Sync-Netzwerk Spalte G: h/Woche × 4,33 × Stundensatz. Menschen als manuelle Schnittstelle zwischen Systemen. ADRESSIERBAR: 100 % (Setup B16) — existiert nur wegen manueller Uebertragung.</t>
  </si>
  <si>
    <t xml:space="preserve">Sync-Stunden-Summe × Frustfaktor (Setup, 30 %) × Stundensatz. Jede Sync-Stunde zerstört zusätzlich produktive Zeit: Herausreißen aus der Facharbeit, Wiedereinarbeitung, Motivationsverlust durch stumpfe Doppelpflege. ADRESSIERBAR: 100 % (Setup B16) — existiert nur wegen manueller Uebertragung.</t>
  </si>
  <si>
    <t xml:space="preserve">4. Nacharbeit aus Daten-Drift (tritt IMMER ein)</t>
  </si>
  <si>
    <t xml:space="preserve">Summe Spalte J: Drift-Wert × Nacharbeits-Faktor 2×. Jeder Drift-Fehler erzeugt Such-, Klär- und Korrekturaufwand — ausnahmslos. Basis: 40–50 % des Projektaufwands sind vermeidbare Nacharbeit (thomasarends.de). ADRESSIERBAR: 100 % (Setup B16) — existiert nur wegen manueller Uebertragung.</t>
  </si>
  <si>
    <t xml:space="preserve">Summe Spalte K: Drift-Wert × Eskalations-Anteil × Schadens-Multiplikator je Typ. Reserve für die Drift-Fälle, die beim Kunden, im Audit oder in der Fakturierung aufschlagen. ADRESSIERBAR: 100 % (Setup B16) — existiert nur wegen manueller Uebertragung.</t>
  </si>
  <si>
    <t xml:space="preserve">GESAMT-CHAOS-KOSTEN</t>
  </si>
  <si>
    <t xml:space="preserve">Summe aller fuenf Bloecke = Kosten des Ist-Zustands (Kontext). Die Spalten E/F zeigen, welcher Teil davon durch gemeinsame Datenhaltung tatsaechlich entfaellt — DAS ist die Verhandlungszahl. Achtung im Gespraech: die Gesamtzahl wird zu ~86 % von Block 1 getragen, und Block 1 verschwindet nicht vollstaendig. Wer die Gesamtzahl als Einsparung praesentiert, verliert beim ersten Nachrechnen auch die belastbare Zahl.</t>
  </si>
  <si>
    <t xml:space="preserve">RISIKO-SICHT (Drift-Folgekosten)</t>
  </si>
  <si>
    <t xml:space="preserve">Drift-Folgekosten gesamt (Block 4 + 5)</t>
  </si>
  <si>
    <t xml:space="preserve">Nacharbeit + Eskalations-Rückstellung. Das ist der Preis dafür, dass Datenkonsistenz von menschlicher Disziplin statt von einer gemeinsamen Datenhaltung abhängt. Jeder dieser Fälle ist eine potenzielle Kundenstress-Situation.</t>
  </si>
  <si>
    <t xml:space="preserve">Anteil Drift-Folgekosten an Sync-Gesamtkosten</t>
  </si>
  <si>
    <t xml:space="preserve">Wie viel der Synchronisations-Gesamtlast (Blöcke 2+3+4+5) reine Fehlerfolge ist. Steigt mit Drift-Rate und Risikoklasse der Verbindungen.</t>
  </si>
  <si>
    <t xml:space="preserve">KENNZAHLEN</t>
  </si>
  <si>
    <t xml:space="preserve">Verlorene Stunden / Monat</t>
  </si>
  <si>
    <t xml:space="preserve">Admin-Stunden in Tools + Sync-Stunden + Kontextwechsel-Verlust (Sync-h × Frustfaktor). Reine Zeitbetrachtung, unabhängig vom Stundensatz.</t>
  </si>
  <si>
    <t xml:space="preserve">FTE-Äquivalent (verlorene Vollzeitstellen)</t>
  </si>
  <si>
    <t xml:space="preserve">Verlorene Stunden ÷ Monatsstunden einer Vollzeitkraft (reale Arbeitstage × 8 h). Lesart: "So viele Vollzeitstellen arbeiten faktisch nur als menschliche Middleware."</t>
  </si>
  <si>
    <t xml:space="preserve">Gesamtzahl der Mitarbeitenden im betrachteten Bereich (Setup). Bezugsgröße für die Verlust-Quote.</t>
  </si>
  <si>
    <t xml:space="preserve">Verlust-Quote (FTE ÷ Mitarbeitende)</t>
  </si>
  <si>
    <t xml:space="preserve">Anteil der Gesamtbelegschaft, dessen Arbeitskraft vollständig im Tool-Chaos verschwindet. Beispiel-Lesart: "3,3 von 17 Mitarbeitenden — knapp jede fünfte Stelle — arbeiten nur gegen die Tool-Landschaft."</t>
  </si>
  <si>
    <t xml:space="preserve">Zugrunde liegender Stundensatz</t>
  </si>
  <si>
    <t xml:space="preserve">Zentraler Hebel — Änderung im Setup skaliert alle €-Werte proportional.</t>
  </si>
  <si>
    <t xml:space="preserve">Adressierbare Stunden / Monat</t>
  </si>
  <si>
    <t xml:space="preserve">Verlorene Stunden, gewichtet mit dem adressierbaren Anteil je Block. Reine Zeitbetrachtung, unabhaengig vom Stundensatz.</t>
  </si>
  <si>
    <t xml:space="preserve">FTE-Aequivalent adressierbar</t>
  </si>
  <si>
    <t xml:space="preserve">Adressierbare Stunden ÷ Monatsstunden einer Vollzeitkraft. Lesart: 'So viele Vollzeitstellen sind durch eine gemeinsame Datenhaltung tatsaechlich zurueckzugewinnen' — die verteidigbare Version der Middleware-Aussage.</t>
  </si>
  <si>
    <t xml:space="preserve">ⓘ Argumentation fuer Stakeholder: Zwei Zahlen, nicht eine. (1) GESAMT-CHAOS-KOSTEN = was der Ist-Zustand kostet, Kontext. (2) EINSPARPOTENZIAL (Spalte F, Zeile 10) = was davon durch eine gemeinsame Datenhaltung entfaellt — der Betrag, gegen den sich die Plattform rechnen muss. Bloecke 2–5 entfallen vollstaendig, Block 1 nur zum im Setup gesetzten Anteil. Die Annahme zu Block 1 offen nennen, bevor der Kunde sie findet. Nicht beziffert und deshalb nicht in der Rechnung: frustbedingte Fluktuation, Qualitaetsverlust in der Facharbeit, Time-to-Market.</t>
  </si>
  <si>
    <t xml:space="preserve">MAXIMALSCHADEN-SICHT (kein Erwartungswert, keine Summe)</t>
  </si>
  <si>
    <t xml:space="preserve">Schlimmster plausibler Einzelfall</t>
  </si>
  <si>
    <t xml:space="preserve">MAXIMUM über alle erfassten Verbindungen (Sync-Netzwerk M16), gespeist aus Spalte E des Schadensfall-Katalogs. Bewusst kein Erwartungswert und bewusst nicht addiert: Maximalschäden summiert man nicht. Diese Zahl geht in KEINE andere Zelle dieser Datei ein.</t>
  </si>
  <si>
    <t xml:space="preserve">Verhältnis Maximalschaden zu Monats-Gesamtkosten</t>
  </si>
  <si>
    <t xml:space="preserve">Wie oft passt die gesamte monatliche Chaos-Rechnung in einen einzigen schlimmsten Fall. Ist der Faktor groß, ist die Erwartungswert-Argumentation allein unzulässig — dann entscheidet das Risiko, nicht die Effizienz.</t>
  </si>
  <si>
    <t xml:space="preserve">ⓘ ZWEI ZAHLEN FÜR STAKEHOLDER, plus eine dritte für die Risikofrage.  (1) GESAMT-CHAOS-KOSTEN = Kontext, was der Ist-Zustand kostet. Achtung: ~87 % davon trägt Block 1, und Block 1 verschwindet nicht vollständig — wer die Gesamtzahl als Einsparung präsentiert, verliert beim ersten Nachrechnen auch die belastbare Zahl.  (2) EINSPARPOTENZIAL (F10) = der Betrag, gegen den sich die Plattform rechnen muss. Das ist die Verhandlungszahl.  (3) MAXIMALSCHADEN (B28) = die Entscheidungszahl bei sicherheits-, regulatorik- oder finanzkritischen Verbindungen. Sie darf nie addiert und nie mit einer Vorfallzahl multipliziert werden.  Nicht beziffert und deshalb nicht in der Rechnung: Verstärkungsschleife durch Schattensysteme, Silodenken, frustbedingte Fluktuation, Qualitätsverlust, Time-to-Market — siehe Blatt "Nicht beziffert". Diese Effekte selbst anzusprechen ist der Grund, warum die bezifferten geglaubt werden.</t>
  </si>
  <si>
    <t xml:space="preserve">Nicht bezifferte Effekte — bewusst ohne Zahl</t>
  </si>
  <si>
    <t xml:space="preserve">Diese Effekte sind real und in der Wirkung vermutlich größer als die Blöcke 4 und 5. Sie stehen hier OHNE Eurobetrag, weil jede Zahl dafür frei erfunden wäre — und eine erfundene Zahl kostet die Glaubwürdigkeit der belegbaren.</t>
  </si>
  <si>
    <t xml:space="preserve">Effekt</t>
  </si>
  <si>
    <t xml:space="preserve">Wirkmechanismus</t>
  </si>
  <si>
    <t xml:space="preserve">Warum hier keine Zahl steht</t>
  </si>
  <si>
    <t xml:space="preserve">Verstärkungsschleife durch Schattensysteme</t>
  </si>
  <si>
    <t xml:space="preserve">Ein Drift-Fehler an einer manuellen Übertragung hat keinen eindeutigen Eigentümer. Ohne gemeinsame Datenhaltung gibt es keinen Schiedsrichter — die Ursache wird einer Person zugeschrieben statt der Struktur. Die beschuldigte Seite legt sich eine eigene Kopie an. Diese Kopie IST eine neue Sync-Verbindung.</t>
  </si>
  <si>
    <t xml:space="preserve">Modellierbar wäre es, aber jede Wachstumsrate wäre geraten. Wirkungsrichtung ist eindeutig: das Modell rechnet linear, real ist es eine Schleife — die Zahlen dieser Datei sind daher eher zu niedrig als zu hoch. Das genügt als Aussage.</t>
  </si>
  <si>
    <t xml:space="preserve">Silodenken / Schuldzuweisung</t>
  </si>
  <si>
    <t xml:space="preserve">"Die haben Mist gebaut." Die Zuschreibung auf Personen statt auf die Schnittstelle friert die Verbindung zwischen zwei Bereichen ein — zuständig für die Reparatur ist niemand, weil die Zuständigkeit genau der Streitpunkt war.</t>
  </si>
  <si>
    <t xml:space="preserve">Keine belastbare Metrik, die den Anteil des Tool-Chaos isoliert. Als Mechanismus beschreibbar, als Betrag nicht.</t>
  </si>
  <si>
    <t xml:space="preserve">Frustbedingte Fluktuation / innere Kündigung</t>
  </si>
  <si>
    <t xml:space="preserve">Stumpfe Doppelpflege und Verantwortung für strukturell unvermeidbare Fehler sind bekannte Treiber sinkender Bindung.</t>
  </si>
  <si>
    <t xml:space="preserve">Gallup 2025: 13 % innere Kündigung, volkswirtschaftlich 119,2–142,3 Mrd. €/Jahr. ABER: Gallup misst das Ergebnis, nicht die Ursache. Ein Kausalanteil des Tool-Chaos ist nicht belegt. Zahl als Größenordnung zitierbar, NIE in dieser Datei verrechnen.</t>
  </si>
  <si>
    <t xml:space="preserve">Qualitätsverlust in der Facharbeit</t>
  </si>
  <si>
    <t xml:space="preserve">Zeit, die in Verwaltung geht, fehlt in der eigentlichen Ingenieurleistung. Der Verlust zeigt sich nicht als Fehler, sondern als nicht gestellte Frage.</t>
  </si>
  <si>
    <t xml:space="preserve">Nicht messbar ohne Kontrollgruppe.</t>
  </si>
  <si>
    <t xml:space="preserve">Time-to-Market</t>
  </si>
  <si>
    <t xml:space="preserve">Jede Klärungsschleife verschiebt Entscheidungen. Der Effekt kumuliert über die Projektlaufzeit.</t>
  </si>
  <si>
    <t xml:space="preserve">Kundenspezifisch und stark projektabhängig — pro Fall zu schätzen, nicht generisch.</t>
  </si>
  <si>
    <t xml:space="preserve">ⓘ Diese Seite gehört ins Kundengespräch, nicht in die Schublade. Selbst zu sagen "das hier kann ich nicht beziffern" ist der Grund, warum man die bezifferten Blöcke glaubt.</t>
  </si>
  <si>
    <t xml:space="preserve">Quellen — was belegt ist und was nicht</t>
  </si>
  <si>
    <t xml:space="preserve">Trennscharf: Beleg, Faustregel, eigene Annahme. Die Spalte "Belastbarkeit" entscheidet, wie eine Zahl zitiert werden darf.</t>
  </si>
  <si>
    <t xml:space="preserve">Aussage</t>
  </si>
  <si>
    <t xml:space="preserve">Belastbarkeit</t>
  </si>
  <si>
    <t xml:space="preserve">Zitierregel</t>
  </si>
  <si>
    <t xml:space="preserve">Fensterwechsel kosten ~4 h/Woche = 9 % der Jahresarbeitszeit</t>
  </si>
  <si>
    <t xml:space="preserve">Harvard Business Review 08/2022, Murty/Dadlani/Das; 137 Nutzer, 20 Teams, 3 Fortune-500-Unternehmen, 3.200 Arbeitstage</t>
  </si>
  <si>
    <t xml:space="preserve">BELEG (primär)</t>
  </si>
  <si>
    <t xml:space="preserve">Als Beleg dafür zitierbar, DASS der Verlust existiert und messbar ist — nicht für dessen Höhe je Sync-Stunde.</t>
  </si>
  <si>
    <t xml:space="preserve">~1.200 Fensterwechsel/Tag, gut 2 Sekunden je Wechsel</t>
  </si>
  <si>
    <t xml:space="preserve">dieselbe Studie; nach 65 % der Wechsel folgt der nächste in unter 11 Sekunden</t>
  </si>
  <si>
    <t xml:space="preserve">BELEG, aber missverständlich</t>
  </si>
  <si>
    <t xml:space="preserve">Nur mit dem 11-Sekunden-Detail zitieren. Es sind Telemetrie-Fokuswechsel, keine bewussten Aufgabenwechsel. Sekundärquellen geben die Zahl bereits falsch wieder.</t>
  </si>
  <si>
    <t xml:space="preserve">40–50 % des Projektaufwands = vermeidbare Nacharbeit; Anforderungsfehler = 70–85 % davon</t>
  </si>
  <si>
    <t xml:space="preserve">Leffingwell 1997; Wiegers</t>
  </si>
  <si>
    <t xml:space="preserve">BELEG, aber alt</t>
  </si>
  <si>
    <t xml:space="preserve">Als "Studienlage" zitieren, nicht als aktuelle Messung.</t>
  </si>
  <si>
    <t xml:space="preserve">1-10-100-Regel / Zehnerregel der Fehlerkosten</t>
  </si>
  <si>
    <t xml:space="preserve">QM-Standardwissen</t>
  </si>
  <si>
    <t xml:space="preserve">FAUSTREGEL</t>
  </si>
  <si>
    <t xml:space="preserve">Nie als Messwert ausgeben. Als Denkfigur verwenden.</t>
  </si>
  <si>
    <t xml:space="preserve">Kosten schlechter Softwarequalität USA: 2,41 Bio. $</t>
  </si>
  <si>
    <t xml:space="preserve">CISQ Report 2022</t>
  </si>
  <si>
    <t xml:space="preserve">BELEG</t>
  </si>
  <si>
    <t xml:space="preserve">Größenordnung, US-Bezug — nicht auf DACH übertragen.</t>
  </si>
  <si>
    <t xml:space="preserve">10 % hohe Bindung / 13 % innere Kündigung / 119,2–142,3 Mrd. €</t>
  </si>
  <si>
    <t xml:space="preserve">Gallup Engagement Index Deutschland 2025; 1.700 Befragte CATI, Erhebung 17.11.–20.12.2025</t>
  </si>
  <si>
    <t xml:space="preserve">BELEG (aktuell)</t>
  </si>
  <si>
    <t xml:space="preserve">Misst das ERGEBNIS, nicht die Ursache. Kein Kausalanteil des Tool-Chaos belegt. Nie multiplizieren, nie in dieser Datei verrechnen.</t>
  </si>
  <si>
    <t xml:space="preserve">101 Anwendungen im Durchschnittsunternehmen</t>
  </si>
  <si>
    <t xml:space="preserve">Okta, Businesses at Work 2025</t>
  </si>
  <si>
    <t xml:space="preserve">BELEG (Anbieterstudie)</t>
  </si>
  <si>
    <t xml:space="preserve">Als Anbieterstudie kennzeichnen.</t>
  </si>
  <si>
    <t xml:space="preserve">Mars Climate Orbiter: ~125 Mio. $ Orbiter / ~327 Mio. $ Mission durch nicht abgeglichene Einheiten-Konvention</t>
  </si>
  <si>
    <t xml:space="preserve">NASA Mishap Investigation Board 1999</t>
  </si>
  <si>
    <t xml:space="preserve">Der einzige Fall hier, bei dem ein Datenfehler zwischen Organisationen nachweislich die Ursache war. Die Kommission benannte ausdrücklich die fehlende Prüfung, nicht den Ingenieur.</t>
  </si>
  <si>
    <t xml:space="preserve">Rückrufkosten GM 4,1 Mrd. € / Ford 1 Mrd. € / Honda 800 Mio. €</t>
  </si>
  <si>
    <t xml:space="preserve">Branchen-Fallsammlungen</t>
  </si>
  <si>
    <t xml:space="preserve">NUR GRÖSSENORDNUNG</t>
  </si>
  <si>
    <t xml:space="preserve">Dokumentiert sind FERTIGUNGSfehler. Niemals als Beleg für datenverursachte Rückrufe zitieren.</t>
  </si>
  <si>
    <t xml:space="preserve">ISO 26262 klassifiziert (S/E/C → ASIL) statt zu multiplizieren</t>
  </si>
  <si>
    <t xml:space="preserve">Norm selbst</t>
  </si>
  <si>
    <t xml:space="preserve">Fachpublikum kennt die Norm — präzise formulieren.</t>
  </si>
  <si>
    <t xml:space="preserve">121,75 € je Bestellung, indirekter Einkauf</t>
  </si>
  <si>
    <t xml:space="preserve">BME "Top-Kennzahlen im Einkauf – Durchschnittswerte 2025"</t>
  </si>
  <si>
    <t xml:space="preserve">NICHT NACHPRÜFBAR</t>
  </si>
  <si>
    <t xml:space="preserve">Die öffentliche BME-Meldung nennt keine Kennzahl; der Report kostet 1.795 €. Nur als Zitat eines fremden Posts verwenden, nie als eigene Quelle.</t>
  </si>
  <si>
    <t xml:space="preserve">Alle €-Werte dieser Datei</t>
  </si>
  <si>
    <t xml:space="preserve">eigener Waste-Kalkulator</t>
  </si>
  <si>
    <t xml:space="preserve">MODELLRECHNUNG</t>
  </si>
  <si>
    <t xml:space="preserve">Immer als Modellrechnung deklarieren, Annahmen offenlegen. Das ist der Wettbewerbsvorteil gegenüber Paywall-Benchmarks, nicht die Schwäche.</t>
  </si>
  <si>
    <t xml:space="preserve">Glossar — alle Begriffe des Modells</t>
  </si>
  <si>
    <t xml:space="preserve">Ausführliche Erklärung jedes Begriffs, damit das Modell ohne Vorwissen nachvollziehbar ist.</t>
  </si>
  <si>
    <t xml:space="preserve">Begriff</t>
  </si>
  <si>
    <t xml:space="preserve">Erklärung</t>
  </si>
  <si>
    <t xml:space="preserve">Was eine Arbeitsstunde das Unternehmen wirklich kostet — Bruttolohn plus Arbeitgeberanteile, Arbeitsplatz, IT und anteiliger Overhead. Faustregel 1,6–1,8 × Bruttostundenlohn. Alle €-Werte im Modell sind Stunden × dieser Satz.</t>
  </si>
  <si>
    <t xml:space="preserve">Urlaubs- und Krankheitstage</t>
  </si>
  <si>
    <t xml:space="preserve">Reduzieren die real verfügbaren Arbeitstage pro Monat: (260 − Urlaub − Krankheit) ÷ 12. Die fixe Chaos-Last (Sync, Abgleich, Nacharbeit) verteilt sich auf weniger Anwesenheit — die Kosten je produktiver Stunde steigen. Deshalb sind beide Werte einstellbar, nicht versteckt.</t>
  </si>
  <si>
    <t xml:space="preserve">Prozentsatz der Zeit in einem Tool, der reine Verwaltung ist: Status doppelt pflegen, suchen, abgleichen, aufräumen. Die restliche Zeit gilt als produktiv und wird bewusst NICHT als Kosten gezählt — das Modell rechnet konservativ.</t>
  </si>
  <si>
    <t xml:space="preserve">Sync-Overhead (direkt)</t>
  </si>
  <si>
    <t xml:space="preserve">Zeit, in der Fachleute Daten manuell zwischen Tools übertragen. Zu 100 % unproduktiv: es entsteht keine neue Information, vorhandene Information wird nur kopiert und abgeglichen.</t>
  </si>
  <si>
    <t xml:space="preserve">Jede Sync-Stunde ist zugleich Arbeitskraft-Verlust über die Stunde hinaus: Die Fachkraft wird aus der eigentlichen Arbeit gerissen, braucht Wiedereinarbeitungszeit und verliert Motivation durch stumpfe Doppelpflege. Default 30 % zusätzlicher Produktivzeit-Verlust pro Sync-Stunde — unterer Rand der Kontextwechsel-Forschung; der langfristige Effekt (Fluktuation, innere Kündigung) ist damit noch gar nicht bepreist.</t>
  </si>
  <si>
    <t xml:space="preserve">Daten-Drift</t>
  </si>
  <si>
    <t xml:space="preserve">Anteil manuell synchronisierter Daten, der pro Monat inkonsistent wird — vergessene Updates, Tippfehler, Zeitversatz. Default 6 %/Monat. Drift ist der Mechanismus, über den aus Sync-Aufwand Nacharbeit und Kundenstress entstehen. Modellgrenze: die Drift-Menge wird ueber die Sync-Stunden geschaetzt, nicht ueber die Zahl der Datensaetze — ein Proxy, der bei hohem Datenvolumen je Stunde zu niedrig liegt.</t>
  </si>
  <si>
    <t xml:space="preserve">Nacharbeit (Nacharbeits-Faktor)</t>
  </si>
  <si>
    <t xml:space="preserve">Drift-Fehler erzeugen IMMER Nachaufwand: suchen, klären, korrigieren, neu abstimmen — es gibt keinen folgenlosen Drift. Erfahrungswert: der Nachaufwand ist typischerweise das Doppelte des gedrifteten Werts (Faktor 2×). Deckt sich mit der Studienlage: 40–50 % des Gesamtaufwands von Projekten sind vermeidbare Nacharbeit; 80 % davon stammen aus 20 % der Fehler (Quelle: thomasarends.de, Qualitätskosten in Projekten senken).</t>
  </si>
  <si>
    <t xml:space="preserve">Schadensfall-Typ / Eskalations-Anteil</t>
  </si>
  <si>
    <t xml:space="preserve">Risikoklasse einer Sync-Verbindung nach Außenwirkung: Intern, Reputational (Kunde), Finance (Rechnung/Audit), Pharma/Regulatorik, Safety-Critical. Der Eskalations-Anteil gibt an, welcher Teil der Drift-Vorfälle über die Nacharbeit hinaus zur Kundenstress-Situation eskaliert — bei kundennahen Daten ist das die Mehrheit.</t>
  </si>
  <si>
    <t xml:space="preserve">Wie teuer eine Eskalation ist, als Vielfaches des gedrifteten Werts. Orientiert an der 1-10-100-Regel: je später ein Fehler auffällt und je weiter außen er wirkt (Kunde, Behörde, Sicherheitsnachweis), desto teurer die Korrektur.</t>
  </si>
  <si>
    <t xml:space="preserve">Eskalations-Rückstellung</t>
  </si>
  <si>
    <t xml:space="preserve">Erwartungswert der Eskalationskosten: Drift-Wert × Eskalations-Anteil × Multiplikator, summiert über alle Verbindungen. Keine garantierte Ausgabe, sondern die Reserve für die Drift-Fälle, die beim Kunden, im Audit oder in der Fakturierung aufschlagen — vergleichbar einer Versicherungsprämie.</t>
  </si>
  <si>
    <t xml:space="preserve">FTE-Äquivalent &amp; Verlust-Quote</t>
  </si>
  <si>
    <t xml:space="preserve">Verlorene Stunden (Admin + Sync + Kontextwechsel) ÷ Monatsstunden einer Vollzeitkraft = verlorene Vollzeitstellen. Die Verlust-Quote setzt das ins Verhältnis zur Gesamt-Mitarbeiterzahl des Bereichs: "X von Y Stellen arbeiten nur als menschliche Middleware."</t>
  </si>
  <si>
    <t xml:space="preserve">Summe aller fünf Blöcke: Admin-Overhead + Sync direkt + Leistungsverlust + Nacharbeit + Eskalations-Rückstellung. Der Betrag, gegen den sich jede Konsolidierungs-Investition rechnen muss.</t>
  </si>
  <si>
    <t xml:space="preserve">Adressierbarer Anteil / Einsparpotenzial</t>
  </si>
  <si>
    <t xml:space="preserve">Nicht jeder Chaos-Euro verschwindet mit einer gemeinsamen Datenhaltung. Die Bloecke 2–5 (Sync, Kontextwechsel, Nacharbeit, Eskalation) entfallen vollstaendig — sie existieren nur, weil manuell uebertragen wird. Block 1 (Admin-Overhead) sinkt, verschwindet aber nicht: Inhalte muessen weiter gepflegt werden, nur die Doppelpflege faellt weg. Der adressierbare Anteil je Block ist im Setup einstellbar (B15/B16). Das Einsparpotenzial ist die Zahl, gegen die sich eine Plattform rechnen muss — die Gesamt-Chaos-Kosten sind Kontext, kein Angebot.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</si>
</sst>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#,##0&quot; €&quot;"/>
    <numFmt numFmtId="166" formatCode="0"/>
    <numFmt numFmtId="167" formatCode="0.00"/>
    <numFmt numFmtId="168" formatCode="0.0%"/>
    <numFmt numFmtId="169" formatCode="0.0\×"/>
    <numFmt numFmtId="170" formatCode="0\ %"/>
    <numFmt numFmtId="171" formatCode="0&quot; min&quot;"/>
    <numFmt numFmtId="172" formatCode="0.0"/>
    <numFmt numFmtId="173" formatCode="0%"/>
    <numFmt numFmtId="174" formatCode="#,##0.0&quot; h&quot;"/>
    <numFmt numFmtId="175" formatCode="0\×"/>
    <numFmt numFmtId="176" formatCode="#,##0"/>
    <numFmt numFmtId="177" formatCode="#,##0.0"/>
    <numFmt numFmtId="178" formatCode="0.00&quot; FTE&quot;"/>
    <numFmt numFmtId="179" formatCode="0&quot; MA&quot;"/>
    <numFmt numFmtId="180" formatCode="0.0\×"/>
  </numFmts>
  <fonts count="1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9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1"/>
      <color rgb="FF1F4E79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1F4E79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b val="true"/>
      <sz val="11"/>
      <color rgb="FF9C0006"/>
      <name val="Arial"/>
      <family val="0"/>
      <charset val="1"/>
    </font>
    <font>
      <sz val="10"/>
      <color rgb="FF595959"/>
      <name val="Arial"/>
      <family val="0"/>
      <charset val="1"/>
    </font>
    <font>
      <b val="true"/>
      <sz val="10"/>
      <color rgb="FF9C0006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2"/>
      <color rgb="FF9C0006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FF7CC"/>
        <bgColor rgb="FFF2F2F2"/>
      </patternFill>
    </fill>
    <fill>
      <patternFill patternType="solid">
        <fgColor rgb="FFF2F2F2"/>
        <bgColor rgb="FFEAF3EA"/>
      </patternFill>
    </fill>
    <fill>
      <patternFill patternType="solid">
        <fgColor rgb="FFEAF3EA"/>
        <bgColor rgb="FFF2F2F2"/>
      </patternFill>
    </fill>
    <fill>
      <patternFill patternType="solid">
        <fgColor rgb="FFD9E2F3"/>
        <bgColor rgb="FFEAF3EA"/>
      </patternFill>
    </fill>
    <fill>
      <patternFill patternType="solid">
        <fgColor rgb="FFFCE4E4"/>
        <bgColor rgb="FFF2F2F2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1" fontId="10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2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4" fontId="12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5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4" fillId="7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2" fillId="6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6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6" fontId="13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7" fontId="8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8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6" fillId="7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4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8" fillId="7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80" fontId="8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7CC"/>
      <rgbColor rgb="FFEAF3EA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CE4E4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3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0"/>
    <col collapsed="false" customWidth="true" hidden="false" outlineLevel="0" max="2" min="2" style="1" width="110"/>
  </cols>
  <sheetData>
    <row r="1" customFormat="false" ht="19.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4" customFormat="false" ht="15" hidden="false" customHeight="true" outlineLevel="0" collapsed="false">
      <c r="A4" s="4" t="s">
        <v>2</v>
      </c>
    </row>
    <row r="5" customFormat="false" ht="42" hidden="false" customHeight="true" outlineLevel="0" collapsed="false">
      <c r="A5" s="5" t="s">
        <v>3</v>
      </c>
      <c r="B5" s="6" t="s">
        <v>4</v>
      </c>
    </row>
    <row r="6" customFormat="false" ht="27.75" hidden="false" customHeight="true" outlineLevel="0" collapsed="false">
      <c r="A6" s="5" t="s">
        <v>5</v>
      </c>
      <c r="B6" s="6" t="s">
        <v>6</v>
      </c>
    </row>
    <row r="7" customFormat="false" ht="42" hidden="false" customHeight="true" outlineLevel="0" collapsed="false">
      <c r="A7" s="5" t="s">
        <v>7</v>
      </c>
      <c r="B7" s="6" t="s">
        <v>8</v>
      </c>
    </row>
    <row r="8" customFormat="false" ht="84" hidden="false" customHeight="true" outlineLevel="0" collapsed="false">
      <c r="A8" s="5" t="s">
        <v>9</v>
      </c>
      <c r="B8" s="6" t="s">
        <v>10</v>
      </c>
    </row>
    <row r="9" customFormat="false" ht="42" hidden="false" customHeight="true" outlineLevel="0" collapsed="false">
      <c r="A9" s="5" t="s">
        <v>11</v>
      </c>
      <c r="B9" s="6" t="s">
        <v>12</v>
      </c>
    </row>
    <row r="11" customFormat="false" ht="15" hidden="false" customHeight="true" outlineLevel="0" collapsed="false">
      <c r="A11" s="4" t="s">
        <v>13</v>
      </c>
    </row>
    <row r="12" customFormat="false" ht="27.75" hidden="false" customHeight="true" outlineLevel="0" collapsed="false">
      <c r="A12" s="5" t="s">
        <v>14</v>
      </c>
      <c r="B12" s="6" t="s">
        <v>15</v>
      </c>
    </row>
    <row r="13" customFormat="false" ht="27.75" hidden="false" customHeight="true" outlineLevel="0" collapsed="false">
      <c r="A13" s="5" t="s">
        <v>16</v>
      </c>
      <c r="B13" s="6" t="s">
        <v>17</v>
      </c>
    </row>
    <row r="14" customFormat="false" ht="27.75" hidden="false" customHeight="true" outlineLevel="0" collapsed="false">
      <c r="A14" s="5" t="s">
        <v>18</v>
      </c>
      <c r="B14" s="6" t="s">
        <v>19</v>
      </c>
    </row>
    <row r="15" customFormat="false" ht="27.75" hidden="false" customHeight="true" outlineLevel="0" collapsed="false">
      <c r="A15" s="5" t="s">
        <v>20</v>
      </c>
      <c r="B15" s="6" t="s">
        <v>21</v>
      </c>
    </row>
    <row r="17" customFormat="false" ht="15" hidden="false" customHeight="true" outlineLevel="0" collapsed="false">
      <c r="A17" s="4" t="s">
        <v>22</v>
      </c>
    </row>
    <row r="18" customFormat="false" ht="27.75" hidden="false" customHeight="true" outlineLevel="0" collapsed="false">
      <c r="A18" s="5" t="s">
        <v>23</v>
      </c>
      <c r="B18" s="6" t="s">
        <v>24</v>
      </c>
    </row>
    <row r="19" customFormat="false" ht="27.75" hidden="false" customHeight="true" outlineLevel="0" collapsed="false">
      <c r="A19" s="5" t="s">
        <v>25</v>
      </c>
      <c r="B19" s="6" t="s">
        <v>26</v>
      </c>
    </row>
    <row r="20" customFormat="false" ht="27.75" hidden="false" customHeight="true" outlineLevel="0" collapsed="false">
      <c r="A20" s="5" t="s">
        <v>27</v>
      </c>
      <c r="B20" s="6" t="s">
        <v>28</v>
      </c>
    </row>
    <row r="21" customFormat="false" ht="27.75" hidden="false" customHeight="true" outlineLevel="0" collapsed="false">
      <c r="A21" s="5" t="s">
        <v>29</v>
      </c>
      <c r="B21" s="6" t="s">
        <v>30</v>
      </c>
    </row>
    <row r="22" customFormat="false" ht="27.75" hidden="false" customHeight="true" outlineLevel="0" collapsed="false">
      <c r="A22" s="5" t="s">
        <v>31</v>
      </c>
      <c r="B22" s="6" t="s">
        <v>32</v>
      </c>
    </row>
    <row r="24" customFormat="false" ht="27.75" hidden="false" customHeight="true" outlineLevel="0" collapsed="false">
      <c r="A24" s="5" t="s">
        <v>33</v>
      </c>
      <c r="B24" s="6" t="s">
        <v>34</v>
      </c>
    </row>
    <row r="26" customFormat="false" ht="15" hidden="false" customHeight="false" outlineLevel="0" collapsed="false">
      <c r="A26" s="4" t="s">
        <v>35</v>
      </c>
    </row>
    <row r="27" customFormat="false" ht="23.85" hidden="false" customHeight="false" outlineLevel="0" collapsed="false">
      <c r="A27" s="5" t="s">
        <v>36</v>
      </c>
      <c r="B27" s="6" t="s">
        <v>37</v>
      </c>
    </row>
    <row r="28" customFormat="false" ht="15" hidden="false" customHeight="false" outlineLevel="0" collapsed="false">
      <c r="A28" s="5" t="s">
        <v>38</v>
      </c>
      <c r="B28" s="6" t="s">
        <v>39</v>
      </c>
    </row>
    <row r="29" customFormat="false" ht="23.85" hidden="false" customHeight="false" outlineLevel="0" collapsed="false">
      <c r="A29" s="5" t="s">
        <v>40</v>
      </c>
      <c r="B29" s="6" t="s">
        <v>41</v>
      </c>
    </row>
    <row r="30" customFormat="false" ht="23.85" hidden="false" customHeight="false" outlineLevel="0" collapsed="false">
      <c r="A30" s="5" t="s">
        <v>42</v>
      </c>
      <c r="B30" s="6" t="s">
        <v>43</v>
      </c>
    </row>
    <row r="31" customFormat="false" ht="15" hidden="false" customHeight="false" outlineLevel="0" collapsed="false">
      <c r="A31" s="5" t="s">
        <v>44</v>
      </c>
      <c r="B31" s="6" t="s">
        <v>45</v>
      </c>
    </row>
    <row r="32" customFormat="false" ht="15" hidden="false" customHeight="false" outlineLevel="0" collapsed="false">
      <c r="A32" s="5" t="s">
        <v>46</v>
      </c>
      <c r="B32" s="6" t="s">
        <v>47</v>
      </c>
    </row>
    <row r="33" customFormat="false" ht="15" hidden="false" customHeight="false" outlineLevel="0" collapsed="false">
      <c r="A33" s="5" t="s">
        <v>48</v>
      </c>
      <c r="B33" s="6" t="s">
        <v>49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5" activeCellId="0" sqref="B15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2" min="2" style="1" width="14"/>
    <col collapsed="false" customWidth="true" hidden="false" outlineLevel="0" max="3" min="3" style="1" width="13"/>
    <col collapsed="false" customWidth="true" hidden="false" outlineLevel="0" max="4" min="4" style="1" width="105"/>
    <col collapsed="false" customWidth="true" hidden="false" outlineLevel="0" max="5" min="5" style="0" width="22"/>
    <col collapsed="false" customWidth="true" hidden="false" outlineLevel="0" max="6" min="6" style="0" width="60"/>
  </cols>
  <sheetData>
    <row r="1" customFormat="false" ht="19.5" hidden="false" customHeight="true" outlineLevel="0" collapsed="false">
      <c r="A1" s="2" t="s">
        <v>50</v>
      </c>
    </row>
    <row r="2" customFormat="false" ht="15" hidden="false" customHeight="true" outlineLevel="0" collapsed="false">
      <c r="A2" s="3" t="s">
        <v>51</v>
      </c>
    </row>
    <row r="4" customFormat="false" ht="15" hidden="false" customHeight="true" outlineLevel="0" collapsed="false">
      <c r="A4" s="7" t="s">
        <v>52</v>
      </c>
      <c r="B4" s="7" t="s">
        <v>53</v>
      </c>
      <c r="C4" s="7" t="s">
        <v>54</v>
      </c>
      <c r="D4" s="7" t="s">
        <v>55</v>
      </c>
      <c r="E4" s="8" t="s">
        <v>56</v>
      </c>
      <c r="F4" s="8" t="s">
        <v>57</v>
      </c>
    </row>
    <row r="5" customFormat="false" ht="61.5" hidden="false" customHeight="true" outlineLevel="0" collapsed="false">
      <c r="A5" s="9" t="s">
        <v>58</v>
      </c>
      <c r="B5" s="10" t="n">
        <v>100</v>
      </c>
      <c r="C5" s="11" t="s">
        <v>59</v>
      </c>
      <c r="D5" s="12" t="s">
        <v>60</v>
      </c>
      <c r="E5" s="13" t="s">
        <v>61</v>
      </c>
      <c r="F5" s="6" t="s">
        <v>62</v>
      </c>
    </row>
    <row r="6" customFormat="false" ht="61.5" hidden="false" customHeight="true" outlineLevel="0" collapsed="false">
      <c r="A6" s="9" t="s">
        <v>63</v>
      </c>
      <c r="B6" s="14" t="n">
        <v>30</v>
      </c>
      <c r="C6" s="11" t="s">
        <v>64</v>
      </c>
      <c r="D6" s="12" t="s">
        <v>65</v>
      </c>
      <c r="E6" s="13" t="s">
        <v>61</v>
      </c>
      <c r="F6" s="6" t="s">
        <v>66</v>
      </c>
    </row>
    <row r="7" customFormat="false" ht="61.5" hidden="false" customHeight="true" outlineLevel="0" collapsed="false">
      <c r="A7" s="9" t="s">
        <v>67</v>
      </c>
      <c r="B7" s="14" t="n">
        <v>15</v>
      </c>
      <c r="C7" s="11" t="s">
        <v>64</v>
      </c>
      <c r="D7" s="12" t="s">
        <v>68</v>
      </c>
      <c r="E7" s="13" t="s">
        <v>69</v>
      </c>
      <c r="F7" s="6" t="s">
        <v>70</v>
      </c>
    </row>
    <row r="8" customFormat="false" ht="61.5" hidden="false" customHeight="true" outlineLevel="0" collapsed="false">
      <c r="A8" s="9" t="s">
        <v>71</v>
      </c>
      <c r="B8" s="15" t="n">
        <f aca="false">(260-B6-B7)/12</f>
        <v>17.9166666666667</v>
      </c>
      <c r="C8" s="11" t="s">
        <v>64</v>
      </c>
      <c r="D8" s="12" t="s">
        <v>72</v>
      </c>
      <c r="E8" s="13" t="s">
        <v>73</v>
      </c>
      <c r="F8" s="6" t="s">
        <v>74</v>
      </c>
    </row>
    <row r="9" customFormat="false" ht="61.5" hidden="false" customHeight="true" outlineLevel="0" collapsed="false">
      <c r="A9" s="9" t="s">
        <v>75</v>
      </c>
      <c r="B9" s="16" t="n">
        <v>4.33</v>
      </c>
      <c r="C9" s="11" t="s">
        <v>76</v>
      </c>
      <c r="D9" s="12" t="s">
        <v>77</v>
      </c>
      <c r="E9" s="13" t="s">
        <v>78</v>
      </c>
      <c r="F9" s="6" t="s">
        <v>79</v>
      </c>
    </row>
    <row r="10" customFormat="false" ht="61.5" hidden="false" customHeight="true" outlineLevel="0" collapsed="false">
      <c r="A10" s="9" t="s">
        <v>80</v>
      </c>
      <c r="B10" s="17" t="n">
        <v>0.06</v>
      </c>
      <c r="C10" s="11" t="s">
        <v>81</v>
      </c>
      <c r="D10" s="12" t="s">
        <v>82</v>
      </c>
      <c r="E10" s="13" t="s">
        <v>83</v>
      </c>
      <c r="F10" s="6" t="s">
        <v>84</v>
      </c>
    </row>
    <row r="11" customFormat="false" ht="61.5" hidden="false" customHeight="true" outlineLevel="0" collapsed="false">
      <c r="A11" s="9" t="s">
        <v>85</v>
      </c>
      <c r="B11" s="18" t="n">
        <v>2</v>
      </c>
      <c r="C11" s="11" t="s">
        <v>86</v>
      </c>
      <c r="D11" s="12" t="s">
        <v>87</v>
      </c>
      <c r="E11" s="13" t="s">
        <v>88</v>
      </c>
      <c r="F11" s="6" t="s">
        <v>89</v>
      </c>
    </row>
    <row r="12" customFormat="false" ht="61.5" hidden="false" customHeight="true" outlineLevel="0" collapsed="false">
      <c r="A12" s="9" t="s">
        <v>90</v>
      </c>
      <c r="B12" s="17" t="n">
        <v>0.3</v>
      </c>
      <c r="C12" s="11" t="s">
        <v>91</v>
      </c>
      <c r="D12" s="12" t="s">
        <v>92</v>
      </c>
      <c r="E12" s="13" t="s">
        <v>83</v>
      </c>
      <c r="F12" s="6" t="s">
        <v>93</v>
      </c>
    </row>
    <row r="13" customFormat="false" ht="61.5" hidden="false" customHeight="true" outlineLevel="0" collapsed="false">
      <c r="A13" s="9" t="s">
        <v>94</v>
      </c>
      <c r="B13" s="14" t="n">
        <v>8</v>
      </c>
      <c r="C13" s="11" t="s">
        <v>95</v>
      </c>
      <c r="D13" s="12" t="s">
        <v>96</v>
      </c>
      <c r="E13" s="13" t="s">
        <v>78</v>
      </c>
      <c r="F13" s="6" t="s">
        <v>97</v>
      </c>
    </row>
    <row r="14" customFormat="false" ht="61.5" hidden="false" customHeight="true" outlineLevel="0" collapsed="false">
      <c r="A14" s="9" t="s">
        <v>98</v>
      </c>
      <c r="B14" s="14" t="n">
        <v>20</v>
      </c>
      <c r="C14" s="11" t="s">
        <v>99</v>
      </c>
      <c r="D14" s="12" t="s">
        <v>100</v>
      </c>
      <c r="E14" s="13" t="s">
        <v>61</v>
      </c>
      <c r="F14" s="6" t="s">
        <v>101</v>
      </c>
    </row>
    <row r="15" customFormat="false" ht="45.75" hidden="false" customHeight="true" outlineLevel="0" collapsed="false">
      <c r="A15" s="9" t="s">
        <v>102</v>
      </c>
      <c r="B15" s="19" t="n">
        <v>0.5</v>
      </c>
      <c r="C15" s="11" t="s">
        <v>103</v>
      </c>
      <c r="D15" s="12" t="s">
        <v>104</v>
      </c>
      <c r="E15" s="13" t="s">
        <v>105</v>
      </c>
      <c r="F15" s="6" t="s">
        <v>106</v>
      </c>
    </row>
    <row r="16" customFormat="false" ht="30" hidden="false" customHeight="true" outlineLevel="0" collapsed="false">
      <c r="A16" s="9" t="s">
        <v>107</v>
      </c>
      <c r="B16" s="19" t="n">
        <v>1</v>
      </c>
      <c r="C16" s="11" t="s">
        <v>108</v>
      </c>
      <c r="D16" s="12" t="s">
        <v>109</v>
      </c>
      <c r="E16" s="13" t="s">
        <v>105</v>
      </c>
      <c r="F16" s="6" t="s">
        <v>110</v>
      </c>
    </row>
    <row r="18" customFormat="false" ht="15" hidden="false" customHeight="true" outlineLevel="0" collapsed="false">
      <c r="A18" s="20" t="s">
        <v>111</v>
      </c>
      <c r="B18" s="20"/>
      <c r="C18" s="20"/>
      <c r="D18" s="20"/>
    </row>
    <row r="20" customFormat="false" ht="15" hidden="false" customHeight="false" outlineLevel="0" collapsed="false">
      <c r="A20" s="4" t="s">
        <v>112</v>
      </c>
    </row>
    <row r="21" customFormat="false" ht="35.05" hidden="false" customHeight="false" outlineLevel="0" collapsed="false">
      <c r="A21" s="21" t="s">
        <v>113</v>
      </c>
      <c r="B21" s="22" t="n">
        <v>10</v>
      </c>
      <c r="C21" s="23" t="s">
        <v>114</v>
      </c>
      <c r="D21" s="6" t="s">
        <v>115</v>
      </c>
      <c r="E21" s="13" t="s">
        <v>105</v>
      </c>
      <c r="F21" s="6" t="s">
        <v>116</v>
      </c>
    </row>
    <row r="23" customFormat="false" ht="158.2" hidden="false" customHeight="false" outlineLevel="0" collapsed="false">
      <c r="A23" s="24" t="s">
        <v>117</v>
      </c>
    </row>
  </sheetData>
  <mergeCells count="1">
    <mergeCell ref="A18:D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C9" activeCellId="0" sqref="C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34"/>
    <col collapsed="false" customWidth="true" hidden="false" outlineLevel="0" max="3" min="3" style="1" width="10"/>
    <col collapsed="false" customWidth="true" hidden="false" outlineLevel="0" max="4" min="4" style="1" width="12"/>
    <col collapsed="false" customWidth="true" hidden="false" outlineLevel="0" max="5" min="5" style="1" width="11"/>
    <col collapsed="false" customWidth="true" hidden="false" outlineLevel="0" max="7" min="6" style="1" width="13"/>
    <col collapsed="false" customWidth="true" hidden="false" outlineLevel="0" max="8" min="8" style="1" width="14"/>
    <col collapsed="false" customWidth="true" hidden="false" outlineLevel="0" max="9" min="9" style="1" width="50"/>
  </cols>
  <sheetData>
    <row r="1" customFormat="false" ht="19.5" hidden="false" customHeight="true" outlineLevel="0" collapsed="false">
      <c r="A1" s="2" t="s">
        <v>118</v>
      </c>
    </row>
    <row r="2" customFormat="false" ht="15" hidden="false" customHeight="true" outlineLevel="0" collapsed="false">
      <c r="A2" s="3" t="s">
        <v>119</v>
      </c>
    </row>
    <row r="4" customFormat="false" ht="23.25" hidden="false" customHeight="true" outlineLevel="0" collapsed="false">
      <c r="A4" s="7" t="s">
        <v>120</v>
      </c>
      <c r="B4" s="7" t="s">
        <v>121</v>
      </c>
      <c r="C4" s="7" t="s">
        <v>99</v>
      </c>
      <c r="D4" s="7" t="s">
        <v>122</v>
      </c>
      <c r="E4" s="7" t="s">
        <v>123</v>
      </c>
      <c r="F4" s="7" t="s">
        <v>124</v>
      </c>
      <c r="G4" s="7" t="s">
        <v>125</v>
      </c>
      <c r="H4" s="7" t="s">
        <v>126</v>
      </c>
      <c r="I4" s="7" t="s">
        <v>127</v>
      </c>
    </row>
    <row r="5" customFormat="false" ht="42" hidden="false" customHeight="true" outlineLevel="0" collapsed="false">
      <c r="A5" s="9" t="s">
        <v>128</v>
      </c>
      <c r="B5" s="12" t="s">
        <v>129</v>
      </c>
      <c r="C5" s="14" t="n">
        <v>8</v>
      </c>
      <c r="D5" s="25" t="n">
        <v>5</v>
      </c>
      <c r="E5" s="26" t="n">
        <v>0.25</v>
      </c>
      <c r="F5" s="27" t="n">
        <f aca="false">IFERROR(C5*D5*Setup!$B$8,0)</f>
        <v>716.666666666667</v>
      </c>
      <c r="G5" s="27" t="n">
        <f aca="false">IFERROR(F5*E5,0)</f>
        <v>179.166666666667</v>
      </c>
      <c r="H5" s="28" t="n">
        <f aca="false">IFERROR(G5*Setup!$B$5,0)</f>
        <v>17916.6666666667</v>
      </c>
      <c r="I5" s="12" t="s">
        <v>130</v>
      </c>
    </row>
    <row r="6" customFormat="false" ht="42" hidden="false" customHeight="true" outlineLevel="0" collapsed="false">
      <c r="A6" s="9" t="s">
        <v>131</v>
      </c>
      <c r="B6" s="12" t="s">
        <v>132</v>
      </c>
      <c r="C6" s="14" t="n">
        <v>8</v>
      </c>
      <c r="D6" s="25" t="n">
        <v>4</v>
      </c>
      <c r="E6" s="26" t="n">
        <v>0.3</v>
      </c>
      <c r="F6" s="27" t="n">
        <f aca="false">IFERROR(C6*D6*Setup!$B$8,0)</f>
        <v>573.333333333333</v>
      </c>
      <c r="G6" s="27" t="n">
        <f aca="false">IFERROR(F6*E6,0)</f>
        <v>172</v>
      </c>
      <c r="H6" s="28" t="n">
        <f aca="false">IFERROR(G6*Setup!$B$5,0)</f>
        <v>17200</v>
      </c>
      <c r="I6" s="12" t="s">
        <v>133</v>
      </c>
    </row>
    <row r="7" customFormat="false" ht="42" hidden="false" customHeight="true" outlineLevel="0" collapsed="false">
      <c r="A7" s="9" t="s">
        <v>134</v>
      </c>
      <c r="B7" s="12" t="s">
        <v>135</v>
      </c>
      <c r="C7" s="14" t="n">
        <v>4</v>
      </c>
      <c r="D7" s="25" t="n">
        <v>3</v>
      </c>
      <c r="E7" s="26" t="n">
        <v>0.35</v>
      </c>
      <c r="F7" s="27" t="n">
        <f aca="false">IFERROR(C7*D7*Setup!$B$8,0)</f>
        <v>215</v>
      </c>
      <c r="G7" s="27" t="n">
        <f aca="false">IFERROR(F7*E7,0)</f>
        <v>75.25</v>
      </c>
      <c r="H7" s="28" t="n">
        <f aca="false">IFERROR(G7*Setup!$B$5,0)</f>
        <v>7525</v>
      </c>
      <c r="I7" s="12" t="s">
        <v>136</v>
      </c>
    </row>
    <row r="8" customFormat="false" ht="42" hidden="false" customHeight="true" outlineLevel="0" collapsed="false">
      <c r="A8" s="9" t="s">
        <v>137</v>
      </c>
      <c r="B8" s="12" t="s">
        <v>138</v>
      </c>
      <c r="C8" s="14" t="n">
        <v>3</v>
      </c>
      <c r="D8" s="25" t="n">
        <v>8</v>
      </c>
      <c r="E8" s="26" t="n">
        <v>0.2</v>
      </c>
      <c r="F8" s="27" t="n">
        <f aca="false">IFERROR(C8*D8*Setup!$B$8,0)</f>
        <v>430</v>
      </c>
      <c r="G8" s="27" t="n">
        <f aca="false">IFERROR(F8*E8,0)</f>
        <v>86</v>
      </c>
      <c r="H8" s="28" t="n">
        <f aca="false">IFERROR(G8*Setup!$B$5,0)</f>
        <v>8600</v>
      </c>
      <c r="I8" s="12" t="s">
        <v>139</v>
      </c>
    </row>
    <row r="9" customFormat="false" ht="42" hidden="false" customHeight="true" outlineLevel="0" collapsed="false">
      <c r="A9" s="9" t="s">
        <v>140</v>
      </c>
      <c r="B9" s="12" t="s">
        <v>141</v>
      </c>
      <c r="C9" s="14" t="n">
        <v>4</v>
      </c>
      <c r="D9" s="25" t="n">
        <v>6</v>
      </c>
      <c r="E9" s="26" t="n">
        <v>0.25</v>
      </c>
      <c r="F9" s="27" t="n">
        <f aca="false">IFERROR(C9*D9*Setup!$B$8,0)</f>
        <v>430</v>
      </c>
      <c r="G9" s="27" t="n">
        <f aca="false">IFERROR(F9*E9,0)</f>
        <v>107.5</v>
      </c>
      <c r="H9" s="28" t="n">
        <f aca="false">IFERROR(G9*Setup!$B$5,0)</f>
        <v>10750</v>
      </c>
      <c r="I9" s="12" t="s">
        <v>142</v>
      </c>
    </row>
    <row r="11" customFormat="false" ht="15" hidden="false" customHeight="true" outlineLevel="0" collapsed="false">
      <c r="A11" s="29" t="s">
        <v>143</v>
      </c>
      <c r="B11" s="30"/>
      <c r="C11" s="30"/>
      <c r="D11" s="30"/>
      <c r="E11" s="30"/>
      <c r="F11" s="31" t="n">
        <f aca="false">SUM(F5:F9)</f>
        <v>2365</v>
      </c>
      <c r="G11" s="31" t="n">
        <f aca="false">SUM(G5:G9)</f>
        <v>619.916666666667</v>
      </c>
      <c r="H11" s="32" t="n">
        <f aca="false">SUM(H5:H9)</f>
        <v>61991.6666666667</v>
      </c>
      <c r="I11" s="30" t="s">
        <v>144</v>
      </c>
    </row>
    <row r="13" customFormat="false" ht="43.5" hidden="false" customHeight="true" outlineLevel="0" collapsed="false">
      <c r="A13" s="33" t="s">
        <v>145</v>
      </c>
      <c r="B13" s="33"/>
      <c r="C13" s="33"/>
      <c r="D13" s="33"/>
      <c r="E13" s="33"/>
      <c r="F13" s="33"/>
      <c r="G13" s="33"/>
      <c r="H13" s="33"/>
      <c r="I13" s="33"/>
    </row>
  </sheetData>
  <mergeCells count="1">
    <mergeCell ref="A13:I1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0"/>
    <col collapsed="false" customWidth="true" hidden="false" outlineLevel="0" max="2" min="2" style="1" width="16"/>
    <col collapsed="false" customWidth="true" hidden="false" outlineLevel="0" max="3" min="3" style="1" width="14"/>
    <col collapsed="false" customWidth="true" hidden="false" outlineLevel="0" max="4" min="4" style="1" width="100"/>
    <col collapsed="false" customWidth="true" hidden="false" outlineLevel="0" max="5" min="5" style="0" width="20"/>
    <col collapsed="false" customWidth="true" hidden="false" outlineLevel="0" max="6" min="6" style="0" width="80"/>
  </cols>
  <sheetData>
    <row r="1" customFormat="false" ht="19.5" hidden="false" customHeight="true" outlineLevel="0" collapsed="false">
      <c r="A1" s="2" t="s">
        <v>146</v>
      </c>
    </row>
    <row r="2" customFormat="false" ht="15" hidden="false" customHeight="true" outlineLevel="0" collapsed="false">
      <c r="A2" s="3" t="s">
        <v>147</v>
      </c>
    </row>
    <row r="4" customFormat="false" ht="34.5" hidden="false" customHeight="true" outlineLevel="0" collapsed="false">
      <c r="A4" s="7" t="s">
        <v>148</v>
      </c>
      <c r="B4" s="7" t="s">
        <v>149</v>
      </c>
      <c r="C4" s="7" t="s">
        <v>150</v>
      </c>
      <c r="D4" s="7" t="s">
        <v>151</v>
      </c>
      <c r="E4" s="8" t="s">
        <v>152</v>
      </c>
      <c r="F4" s="8" t="s">
        <v>153</v>
      </c>
    </row>
    <row r="5" customFormat="false" ht="57.75" hidden="false" customHeight="true" outlineLevel="0" collapsed="false">
      <c r="A5" s="9" t="s">
        <v>154</v>
      </c>
      <c r="B5" s="17" t="n">
        <v>0.1</v>
      </c>
      <c r="C5" s="34" t="n">
        <v>1</v>
      </c>
      <c r="D5" s="12" t="s">
        <v>155</v>
      </c>
      <c r="E5" s="35" t="n">
        <v>2000</v>
      </c>
      <c r="F5" s="6" t="s">
        <v>156</v>
      </c>
    </row>
    <row r="6" customFormat="false" ht="57.75" hidden="false" customHeight="true" outlineLevel="0" collapsed="false">
      <c r="A6" s="9" t="s">
        <v>157</v>
      </c>
      <c r="B6" s="17" t="n">
        <v>0.6</v>
      </c>
      <c r="C6" s="34" t="n">
        <v>3</v>
      </c>
      <c r="D6" s="12" t="s">
        <v>158</v>
      </c>
      <c r="E6" s="35" t="n">
        <v>50000</v>
      </c>
      <c r="F6" s="6" t="s">
        <v>159</v>
      </c>
    </row>
    <row r="7" customFormat="false" ht="57.75" hidden="false" customHeight="true" outlineLevel="0" collapsed="false">
      <c r="A7" s="9" t="s">
        <v>160</v>
      </c>
      <c r="B7" s="17" t="n">
        <v>0.5</v>
      </c>
      <c r="C7" s="34" t="n">
        <v>5</v>
      </c>
      <c r="D7" s="12" t="s">
        <v>161</v>
      </c>
      <c r="E7" s="35" t="n">
        <v>250000</v>
      </c>
      <c r="F7" s="6" t="s">
        <v>162</v>
      </c>
    </row>
    <row r="8" customFormat="false" ht="57.75" hidden="false" customHeight="true" outlineLevel="0" collapsed="false">
      <c r="A8" s="9" t="s">
        <v>163</v>
      </c>
      <c r="B8" s="17" t="n">
        <v>0.35</v>
      </c>
      <c r="C8" s="34" t="n">
        <v>10</v>
      </c>
      <c r="D8" s="12" t="s">
        <v>164</v>
      </c>
      <c r="E8" s="35" t="n">
        <v>2000000</v>
      </c>
      <c r="F8" s="6" t="s">
        <v>165</v>
      </c>
    </row>
    <row r="9" customFormat="false" ht="57.75" hidden="false" customHeight="true" outlineLevel="0" collapsed="false">
      <c r="A9" s="9" t="s">
        <v>166</v>
      </c>
      <c r="B9" s="17" t="n">
        <v>0.25</v>
      </c>
      <c r="C9" s="34" t="n">
        <v>20</v>
      </c>
      <c r="D9" s="12" t="s">
        <v>167</v>
      </c>
      <c r="E9" s="35" t="n">
        <v>25000000</v>
      </c>
      <c r="F9" s="6" t="s">
        <v>168</v>
      </c>
    </row>
    <row r="11" customFormat="false" ht="55.5" hidden="false" customHeight="true" outlineLevel="0" collapsed="false">
      <c r="A11" s="33" t="s">
        <v>169</v>
      </c>
      <c r="B11" s="33"/>
      <c r="C11" s="33"/>
      <c r="D11" s="33"/>
    </row>
    <row r="12" customFormat="false" ht="150" hidden="false" customHeight="true" outlineLevel="0" collapsed="false">
      <c r="A12" s="24" t="s">
        <v>170</v>
      </c>
    </row>
  </sheetData>
  <mergeCells count="1">
    <mergeCell ref="A11:D1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"/>
    <col collapsed="false" customWidth="true" hidden="false" outlineLevel="0" max="3" min="2" style="1" width="11"/>
    <col collapsed="false" customWidth="true" hidden="false" outlineLevel="0" max="4" min="4" style="1" width="38"/>
    <col collapsed="false" customWidth="true" hidden="false" outlineLevel="0" max="5" min="5" style="1" width="9"/>
    <col collapsed="false" customWidth="true" hidden="false" outlineLevel="0" max="6" min="6" style="1" width="11"/>
    <col collapsed="false" customWidth="true" hidden="false" outlineLevel="0" max="7" min="7" style="1" width="12"/>
    <col collapsed="false" customWidth="true" hidden="false" outlineLevel="0" max="8" min="8" style="1" width="15"/>
    <col collapsed="false" customWidth="true" hidden="false" outlineLevel="0" max="11" min="9" style="1" width="12"/>
    <col collapsed="false" customWidth="true" hidden="false" outlineLevel="0" max="12" min="12" style="1" width="38"/>
    <col collapsed="false" customWidth="true" hidden="false" outlineLevel="0" max="13" min="13" style="0" width="20"/>
  </cols>
  <sheetData>
    <row r="1" customFormat="false" ht="19.5" hidden="false" customHeight="true" outlineLevel="0" collapsed="false">
      <c r="A1" s="2" t="s">
        <v>171</v>
      </c>
    </row>
    <row r="2" customFormat="false" ht="15" hidden="false" customHeight="true" outlineLevel="0" collapsed="false">
      <c r="A2" s="3" t="s">
        <v>172</v>
      </c>
    </row>
    <row r="4" customFormat="false" ht="23.25" hidden="false" customHeight="true" outlineLevel="0" collapsed="false">
      <c r="A4" s="7" t="s">
        <v>173</v>
      </c>
      <c r="B4" s="7" t="s">
        <v>174</v>
      </c>
      <c r="C4" s="7" t="s">
        <v>175</v>
      </c>
      <c r="D4" s="7" t="s">
        <v>176</v>
      </c>
      <c r="E4" s="7" t="s">
        <v>177</v>
      </c>
      <c r="F4" s="7" t="s">
        <v>178</v>
      </c>
      <c r="G4" s="7" t="s">
        <v>179</v>
      </c>
      <c r="H4" s="7" t="s">
        <v>180</v>
      </c>
      <c r="I4" s="7" t="s">
        <v>181</v>
      </c>
      <c r="J4" s="7" t="s">
        <v>182</v>
      </c>
      <c r="K4" s="7" t="s">
        <v>183</v>
      </c>
      <c r="L4" s="7" t="s">
        <v>184</v>
      </c>
      <c r="M4" s="8" t="s">
        <v>185</v>
      </c>
    </row>
    <row r="5" customFormat="false" ht="42" hidden="false" customHeight="true" outlineLevel="0" collapsed="false">
      <c r="A5" s="36" t="n">
        <v>1</v>
      </c>
      <c r="B5" s="37" t="s">
        <v>128</v>
      </c>
      <c r="C5" s="37" t="s">
        <v>131</v>
      </c>
      <c r="D5" s="12" t="s">
        <v>186</v>
      </c>
      <c r="E5" s="25" t="n">
        <v>2</v>
      </c>
      <c r="F5" s="27" t="n">
        <f aca="false">IFERROR(E5*Setup!$B$9,0)</f>
        <v>8.66</v>
      </c>
      <c r="G5" s="28" t="n">
        <f aca="false">IFERROR(F5*Setup!$B$5,0)</f>
        <v>866</v>
      </c>
      <c r="H5" s="37" t="s">
        <v>154</v>
      </c>
      <c r="I5" s="28" t="n">
        <f aca="false">IFERROR(G5*Setup!$B$10,0)</f>
        <v>51.96</v>
      </c>
      <c r="J5" s="28" t="n">
        <f aca="false">IFERROR(I5*Setup!$B$11,0)</f>
        <v>103.92</v>
      </c>
      <c r="K5" s="28" t="n">
        <f aca="false">IFERROR(I5*VLOOKUP(H5,'Schadensfall-Katalog'!$A$5:$C$9,2,0)*VLOOKUP(H5,'Schadensfall-Katalog'!$A$5:$C$9,3,0),0)</f>
        <v>5.196</v>
      </c>
      <c r="L5" s="12" t="s">
        <v>187</v>
      </c>
      <c r="M5" s="38" t="n">
        <f aca="false">IFERROR(VLOOKUP(H5,'Schadensfall-Katalog'!$A$5:$E$9,5,0),0)</f>
        <v>2000</v>
      </c>
    </row>
    <row r="6" customFormat="false" ht="42" hidden="false" customHeight="true" outlineLevel="0" collapsed="false">
      <c r="A6" s="36" t="n">
        <v>2</v>
      </c>
      <c r="B6" s="37" t="s">
        <v>128</v>
      </c>
      <c r="C6" s="37" t="s">
        <v>134</v>
      </c>
      <c r="D6" s="12" t="s">
        <v>188</v>
      </c>
      <c r="E6" s="25" t="n">
        <v>2</v>
      </c>
      <c r="F6" s="27" t="n">
        <f aca="false">IFERROR(E6*Setup!$B$9,0)</f>
        <v>8.66</v>
      </c>
      <c r="G6" s="28" t="n">
        <f aca="false">IFERROR(F6*Setup!$B$5,0)</f>
        <v>866</v>
      </c>
      <c r="H6" s="37" t="s">
        <v>154</v>
      </c>
      <c r="I6" s="28" t="n">
        <f aca="false">IFERROR(G6*Setup!$B$10,0)</f>
        <v>51.96</v>
      </c>
      <c r="J6" s="28" t="n">
        <f aca="false">IFERROR(I6*Setup!$B$11,0)</f>
        <v>103.92</v>
      </c>
      <c r="K6" s="28" t="n">
        <f aca="false">IFERROR(I6*VLOOKUP(H6,'Schadensfall-Katalog'!$A$5:$C$9,2,0)*VLOOKUP(H6,'Schadensfall-Katalog'!$A$5:$C$9,3,0),0)</f>
        <v>5.196</v>
      </c>
      <c r="L6" s="12" t="s">
        <v>189</v>
      </c>
      <c r="M6" s="38" t="n">
        <f aca="false">IFERROR(VLOOKUP(H6,'Schadensfall-Katalog'!$A$5:$E$9,5,0),0)</f>
        <v>2000</v>
      </c>
    </row>
    <row r="7" customFormat="false" ht="42" hidden="false" customHeight="true" outlineLevel="0" collapsed="false">
      <c r="A7" s="36" t="n">
        <v>3</v>
      </c>
      <c r="B7" s="37" t="s">
        <v>128</v>
      </c>
      <c r="C7" s="37" t="s">
        <v>140</v>
      </c>
      <c r="D7" s="12" t="s">
        <v>190</v>
      </c>
      <c r="E7" s="25" t="n">
        <v>2</v>
      </c>
      <c r="F7" s="27" t="n">
        <f aca="false">IFERROR(E7*Setup!$B$9,0)</f>
        <v>8.66</v>
      </c>
      <c r="G7" s="28" t="n">
        <f aca="false">IFERROR(F7*Setup!$B$5,0)</f>
        <v>866</v>
      </c>
      <c r="H7" s="37" t="s">
        <v>157</v>
      </c>
      <c r="I7" s="28" t="n">
        <f aca="false">IFERROR(G7*Setup!$B$10,0)</f>
        <v>51.96</v>
      </c>
      <c r="J7" s="28" t="n">
        <f aca="false">IFERROR(I7*Setup!$B$11,0)</f>
        <v>103.92</v>
      </c>
      <c r="K7" s="28" t="n">
        <f aca="false">IFERROR(I7*VLOOKUP(H7,'Schadensfall-Katalog'!$A$5:$C$9,2,0)*VLOOKUP(H7,'Schadensfall-Katalog'!$A$5:$C$9,3,0),0)</f>
        <v>93.528</v>
      </c>
      <c r="L7" s="12" t="s">
        <v>191</v>
      </c>
      <c r="M7" s="38" t="n">
        <f aca="false">IFERROR(VLOOKUP(H7,'Schadensfall-Katalog'!$A$5:$E$9,5,0),0)</f>
        <v>50000</v>
      </c>
    </row>
    <row r="8" customFormat="false" ht="42" hidden="false" customHeight="true" outlineLevel="0" collapsed="false">
      <c r="A8" s="36" t="n">
        <v>4</v>
      </c>
      <c r="B8" s="37" t="s">
        <v>131</v>
      </c>
      <c r="C8" s="37" t="s">
        <v>128</v>
      </c>
      <c r="D8" s="12" t="s">
        <v>192</v>
      </c>
      <c r="E8" s="25" t="n">
        <v>1</v>
      </c>
      <c r="F8" s="27" t="n">
        <f aca="false">IFERROR(E8*Setup!$B$9,0)</f>
        <v>4.33</v>
      </c>
      <c r="G8" s="28" t="n">
        <f aca="false">IFERROR(F8*Setup!$B$5,0)</f>
        <v>433</v>
      </c>
      <c r="H8" s="37" t="s">
        <v>154</v>
      </c>
      <c r="I8" s="28" t="n">
        <f aca="false">IFERROR(G8*Setup!$B$10,0)</f>
        <v>25.98</v>
      </c>
      <c r="J8" s="28" t="n">
        <f aca="false">IFERROR(I8*Setup!$B$11,0)</f>
        <v>51.96</v>
      </c>
      <c r="K8" s="28" t="n">
        <f aca="false">IFERROR(I8*VLOOKUP(H8,'Schadensfall-Katalog'!$A$5:$C$9,2,0)*VLOOKUP(H8,'Schadensfall-Katalog'!$A$5:$C$9,3,0),0)</f>
        <v>2.598</v>
      </c>
      <c r="L8" s="12" t="s">
        <v>193</v>
      </c>
      <c r="M8" s="38" t="n">
        <f aca="false">IFERROR(VLOOKUP(H8,'Schadensfall-Katalog'!$A$5:$E$9,5,0),0)</f>
        <v>2000</v>
      </c>
    </row>
    <row r="9" customFormat="false" ht="42" hidden="false" customHeight="true" outlineLevel="0" collapsed="false">
      <c r="A9" s="36" t="n">
        <v>5</v>
      </c>
      <c r="B9" s="37" t="s">
        <v>131</v>
      </c>
      <c r="C9" s="37" t="s">
        <v>134</v>
      </c>
      <c r="D9" s="12" t="s">
        <v>194</v>
      </c>
      <c r="E9" s="25" t="n">
        <v>1</v>
      </c>
      <c r="F9" s="27" t="n">
        <f aca="false">IFERROR(E9*Setup!$B$9,0)</f>
        <v>4.33</v>
      </c>
      <c r="G9" s="28" t="n">
        <f aca="false">IFERROR(F9*Setup!$B$5,0)</f>
        <v>433</v>
      </c>
      <c r="H9" s="37" t="s">
        <v>154</v>
      </c>
      <c r="I9" s="28" t="n">
        <f aca="false">IFERROR(G9*Setup!$B$10,0)</f>
        <v>25.98</v>
      </c>
      <c r="J9" s="28" t="n">
        <f aca="false">IFERROR(I9*Setup!$B$11,0)</f>
        <v>51.96</v>
      </c>
      <c r="K9" s="28" t="n">
        <f aca="false">IFERROR(I9*VLOOKUP(H9,'Schadensfall-Katalog'!$A$5:$C$9,2,0)*VLOOKUP(H9,'Schadensfall-Katalog'!$A$5:$C$9,3,0),0)</f>
        <v>2.598</v>
      </c>
      <c r="L9" s="12" t="s">
        <v>195</v>
      </c>
      <c r="M9" s="38" t="n">
        <f aca="false">IFERROR(VLOOKUP(H9,'Schadensfall-Katalog'!$A$5:$E$9,5,0),0)</f>
        <v>2000</v>
      </c>
    </row>
    <row r="10" customFormat="false" ht="42" hidden="false" customHeight="true" outlineLevel="0" collapsed="false">
      <c r="A10" s="36" t="n">
        <v>6</v>
      </c>
      <c r="B10" s="37" t="s">
        <v>134</v>
      </c>
      <c r="C10" s="37" t="s">
        <v>128</v>
      </c>
      <c r="D10" s="12" t="s">
        <v>196</v>
      </c>
      <c r="E10" s="25" t="n">
        <v>1</v>
      </c>
      <c r="F10" s="27" t="n">
        <f aca="false">IFERROR(E10*Setup!$B$9,0)</f>
        <v>4.33</v>
      </c>
      <c r="G10" s="28" t="n">
        <f aca="false">IFERROR(F10*Setup!$B$5,0)</f>
        <v>433</v>
      </c>
      <c r="H10" s="37" t="s">
        <v>154</v>
      </c>
      <c r="I10" s="28" t="n">
        <f aca="false">IFERROR(G10*Setup!$B$10,0)</f>
        <v>25.98</v>
      </c>
      <c r="J10" s="28" t="n">
        <f aca="false">IFERROR(I10*Setup!$B$11,0)</f>
        <v>51.96</v>
      </c>
      <c r="K10" s="28" t="n">
        <f aca="false">IFERROR(I10*VLOOKUP(H10,'Schadensfall-Katalog'!$A$5:$C$9,2,0)*VLOOKUP(H10,'Schadensfall-Katalog'!$A$5:$C$9,3,0),0)</f>
        <v>2.598</v>
      </c>
      <c r="L10" s="12" t="s">
        <v>197</v>
      </c>
      <c r="M10" s="38" t="n">
        <f aca="false">IFERROR(VLOOKUP(H10,'Schadensfall-Katalog'!$A$5:$E$9,5,0),0)</f>
        <v>2000</v>
      </c>
    </row>
    <row r="11" customFormat="false" ht="42" hidden="false" customHeight="true" outlineLevel="0" collapsed="false">
      <c r="A11" s="36" t="n">
        <v>7</v>
      </c>
      <c r="B11" s="37" t="s">
        <v>134</v>
      </c>
      <c r="C11" s="37" t="s">
        <v>131</v>
      </c>
      <c r="D11" s="12" t="s">
        <v>198</v>
      </c>
      <c r="E11" s="25" t="n">
        <v>1</v>
      </c>
      <c r="F11" s="27" t="n">
        <f aca="false">IFERROR(E11*Setup!$B$9,0)</f>
        <v>4.33</v>
      </c>
      <c r="G11" s="28" t="n">
        <f aca="false">IFERROR(F11*Setup!$B$5,0)</f>
        <v>433</v>
      </c>
      <c r="H11" s="37" t="s">
        <v>154</v>
      </c>
      <c r="I11" s="28" t="n">
        <f aca="false">IFERROR(G11*Setup!$B$10,0)</f>
        <v>25.98</v>
      </c>
      <c r="J11" s="28" t="n">
        <f aca="false">IFERROR(I11*Setup!$B$11,0)</f>
        <v>51.96</v>
      </c>
      <c r="K11" s="28" t="n">
        <f aca="false">IFERROR(I11*VLOOKUP(H11,'Schadensfall-Katalog'!$A$5:$C$9,2,0)*VLOOKUP(H11,'Schadensfall-Katalog'!$A$5:$C$9,3,0),0)</f>
        <v>2.598</v>
      </c>
      <c r="L11" s="12" t="s">
        <v>199</v>
      </c>
      <c r="M11" s="38" t="n">
        <f aca="false">IFERROR(VLOOKUP(H11,'Schadensfall-Katalog'!$A$5:$E$9,5,0),0)</f>
        <v>2000</v>
      </c>
    </row>
    <row r="12" customFormat="false" ht="42" hidden="false" customHeight="true" outlineLevel="0" collapsed="false">
      <c r="A12" s="36" t="n">
        <v>8</v>
      </c>
      <c r="B12" s="37" t="s">
        <v>134</v>
      </c>
      <c r="C12" s="37" t="s">
        <v>140</v>
      </c>
      <c r="D12" s="12" t="s">
        <v>200</v>
      </c>
      <c r="E12" s="25" t="n">
        <v>1</v>
      </c>
      <c r="F12" s="27" t="n">
        <f aca="false">IFERROR(E12*Setup!$B$9,0)</f>
        <v>4.33</v>
      </c>
      <c r="G12" s="28" t="n">
        <f aca="false">IFERROR(F12*Setup!$B$5,0)</f>
        <v>433</v>
      </c>
      <c r="H12" s="37" t="s">
        <v>157</v>
      </c>
      <c r="I12" s="28" t="n">
        <f aca="false">IFERROR(G12*Setup!$B$10,0)</f>
        <v>25.98</v>
      </c>
      <c r="J12" s="28" t="n">
        <f aca="false">IFERROR(I12*Setup!$B$11,0)</f>
        <v>51.96</v>
      </c>
      <c r="K12" s="28" t="n">
        <f aca="false">IFERROR(I12*VLOOKUP(H12,'Schadensfall-Katalog'!$A$5:$C$9,2,0)*VLOOKUP(H12,'Schadensfall-Katalog'!$A$5:$C$9,3,0),0)</f>
        <v>46.764</v>
      </c>
      <c r="L12" s="12" t="s">
        <v>201</v>
      </c>
      <c r="M12" s="38" t="n">
        <f aca="false">IFERROR(VLOOKUP(H12,'Schadensfall-Katalog'!$A$5:$E$9,5,0),0)</f>
        <v>50000</v>
      </c>
    </row>
    <row r="13" customFormat="false" ht="42" hidden="false" customHeight="true" outlineLevel="0" collapsed="false">
      <c r="A13" s="36" t="n">
        <v>9</v>
      </c>
      <c r="B13" s="37" t="s">
        <v>140</v>
      </c>
      <c r="C13" s="37" t="s">
        <v>128</v>
      </c>
      <c r="D13" s="12" t="s">
        <v>202</v>
      </c>
      <c r="E13" s="25" t="n">
        <v>1.5</v>
      </c>
      <c r="F13" s="27" t="n">
        <f aca="false">IFERROR(E13*Setup!$B$9,0)</f>
        <v>6.495</v>
      </c>
      <c r="G13" s="28" t="n">
        <f aca="false">IFERROR(F13*Setup!$B$5,0)</f>
        <v>649.5</v>
      </c>
      <c r="H13" s="37" t="s">
        <v>157</v>
      </c>
      <c r="I13" s="28" t="n">
        <f aca="false">IFERROR(G13*Setup!$B$10,0)</f>
        <v>38.97</v>
      </c>
      <c r="J13" s="28" t="n">
        <f aca="false">IFERROR(I13*Setup!$B$11,0)</f>
        <v>77.94</v>
      </c>
      <c r="K13" s="28" t="n">
        <f aca="false">IFERROR(I13*VLOOKUP(H13,'Schadensfall-Katalog'!$A$5:$C$9,2,0)*VLOOKUP(H13,'Schadensfall-Katalog'!$A$5:$C$9,3,0),0)</f>
        <v>70.146</v>
      </c>
      <c r="L13" s="12" t="s">
        <v>203</v>
      </c>
      <c r="M13" s="38" t="n">
        <f aca="false">IFERROR(VLOOKUP(H13,'Schadensfall-Katalog'!$A$5:$E$9,5,0),0)</f>
        <v>50000</v>
      </c>
    </row>
    <row r="14" customFormat="false" ht="42" hidden="false" customHeight="true" outlineLevel="0" collapsed="false">
      <c r="A14" s="36" t="n">
        <v>10</v>
      </c>
      <c r="B14" s="37" t="s">
        <v>140</v>
      </c>
      <c r="C14" s="37" t="s">
        <v>137</v>
      </c>
      <c r="D14" s="12" t="s">
        <v>204</v>
      </c>
      <c r="E14" s="25" t="n">
        <v>2</v>
      </c>
      <c r="F14" s="27" t="n">
        <f aca="false">IFERROR(E14*Setup!$B$9,0)</f>
        <v>8.66</v>
      </c>
      <c r="G14" s="28" t="n">
        <f aca="false">IFERROR(F14*Setup!$B$5,0)</f>
        <v>866</v>
      </c>
      <c r="H14" s="37" t="s">
        <v>160</v>
      </c>
      <c r="I14" s="28" t="n">
        <f aca="false">IFERROR(G14*Setup!$B$10,0)</f>
        <v>51.96</v>
      </c>
      <c r="J14" s="28" t="n">
        <f aca="false">IFERROR(I14*Setup!$B$11,0)</f>
        <v>103.92</v>
      </c>
      <c r="K14" s="28" t="n">
        <f aca="false">IFERROR(I14*VLOOKUP(H14,'Schadensfall-Katalog'!$A$5:$C$9,2,0)*VLOOKUP(H14,'Schadensfall-Katalog'!$A$5:$C$9,3,0),0)</f>
        <v>129.9</v>
      </c>
      <c r="L14" s="12" t="s">
        <v>205</v>
      </c>
      <c r="M14" s="38" t="n">
        <f aca="false">IFERROR(VLOOKUP(H14,'Schadensfall-Katalog'!$A$5:$E$9,5,0),0)</f>
        <v>250000</v>
      </c>
    </row>
    <row r="16" customFormat="false" ht="23.25" hidden="false" customHeight="true" outlineLevel="0" collapsed="false">
      <c r="A16" s="29" t="s">
        <v>206</v>
      </c>
      <c r="B16" s="30"/>
      <c r="C16" s="30"/>
      <c r="D16" s="30"/>
      <c r="E16" s="30"/>
      <c r="F16" s="31" t="n">
        <f aca="false">SUM(F5:F14)</f>
        <v>62.785</v>
      </c>
      <c r="G16" s="32" t="n">
        <f aca="false">SUM(G5:G14)</f>
        <v>6278.5</v>
      </c>
      <c r="H16" s="30"/>
      <c r="I16" s="32" t="n">
        <f aca="false">SUM(I5:I14)</f>
        <v>376.71</v>
      </c>
      <c r="J16" s="32" t="n">
        <f aca="false">SUM(J5:J14)</f>
        <v>753.42</v>
      </c>
      <c r="K16" s="32" t="n">
        <f aca="false">SUM(K5:K14)</f>
        <v>361.122</v>
      </c>
      <c r="L16" s="30" t="s">
        <v>207</v>
      </c>
      <c r="M16" s="39" t="n">
        <f aca="false">MAX(M5:M14)</f>
        <v>250000</v>
      </c>
    </row>
    <row r="18" customFormat="false" ht="55.5" hidden="false" customHeight="true" outlineLevel="0" collapsed="false">
      <c r="A18" s="33" t="s">
        <v>208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</row>
  </sheetData>
  <mergeCells count="1">
    <mergeCell ref="A18:L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3" min="2" style="0" width="18"/>
    <col collapsed="false" customWidth="true" hidden="false" outlineLevel="0" max="5" min="4" style="0" width="16"/>
    <col collapsed="false" customWidth="true" hidden="false" outlineLevel="0" max="6" min="6" style="0" width="72"/>
  </cols>
  <sheetData>
    <row r="1" customFormat="false" ht="19.7" hidden="false" customHeight="false" outlineLevel="0" collapsed="false">
      <c r="A1" s="2" t="s">
        <v>209</v>
      </c>
    </row>
    <row r="2" customFormat="false" ht="15" hidden="false" customHeight="false" outlineLevel="0" collapsed="false">
      <c r="A2" s="40" t="s">
        <v>210</v>
      </c>
    </row>
    <row r="4" customFormat="false" ht="15" hidden="false" customHeight="false" outlineLevel="0" collapsed="false">
      <c r="A4" s="4" t="s">
        <v>211</v>
      </c>
    </row>
    <row r="5" customFormat="false" ht="15" hidden="false" customHeight="false" outlineLevel="0" collapsed="false">
      <c r="A5" s="8" t="s">
        <v>212</v>
      </c>
      <c r="B5" s="8" t="s">
        <v>213</v>
      </c>
      <c r="F5" s="8" t="s">
        <v>214</v>
      </c>
    </row>
    <row r="6" customFormat="false" ht="15" hidden="false" customHeight="false" outlineLevel="0" collapsed="false">
      <c r="A6" s="21" t="s">
        <v>215</v>
      </c>
      <c r="B6" s="38" t="n">
        <f aca="false">Setup!$B$5</f>
        <v>100</v>
      </c>
      <c r="F6" s="6" t="s">
        <v>216</v>
      </c>
    </row>
    <row r="7" customFormat="false" ht="15" hidden="false" customHeight="false" outlineLevel="0" collapsed="false">
      <c r="A7" s="21" t="s">
        <v>217</v>
      </c>
      <c r="B7" s="38" t="n">
        <f aca="false">Setup!$B$5*Setup!$B$12</f>
        <v>30</v>
      </c>
      <c r="F7" s="6" t="s">
        <v>218</v>
      </c>
    </row>
    <row r="8" customFormat="false" ht="15" hidden="false" customHeight="false" outlineLevel="0" collapsed="false">
      <c r="A8" s="21" t="s">
        <v>219</v>
      </c>
      <c r="B8" s="38" t="n">
        <f aca="false">Setup!$B$5*Setup!$B$10*Setup!$B$11</f>
        <v>12</v>
      </c>
      <c r="F8" s="6" t="s">
        <v>220</v>
      </c>
    </row>
    <row r="9" customFormat="false" ht="23.85" hidden="false" customHeight="false" outlineLevel="0" collapsed="false">
      <c r="A9" s="21" t="s">
        <v>221</v>
      </c>
      <c r="B9" s="38" t="n">
        <f aca="false">IFERROR('Sync-Netzwerk'!K16/'Sync-Netzwerk'!F16,0)</f>
        <v>5.75172413793103</v>
      </c>
      <c r="F9" s="6" t="s">
        <v>222</v>
      </c>
    </row>
    <row r="10" customFormat="false" ht="23.85" hidden="false" customHeight="false" outlineLevel="0" collapsed="false">
      <c r="A10" s="41" t="s">
        <v>223</v>
      </c>
      <c r="B10" s="42" t="n">
        <f aca="false">SUM(B6:B9)</f>
        <v>147.751724137931</v>
      </c>
      <c r="F10" s="43" t="s">
        <v>224</v>
      </c>
    </row>
    <row r="12" customFormat="false" ht="15" hidden="false" customHeight="false" outlineLevel="0" collapsed="false">
      <c r="A12" s="4" t="s">
        <v>225</v>
      </c>
    </row>
    <row r="13" customFormat="false" ht="15" hidden="false" customHeight="false" outlineLevel="0" collapsed="false">
      <c r="A13" s="21" t="s">
        <v>226</v>
      </c>
      <c r="B13" s="38" t="n">
        <f aca="false">Setup!$B$21/60*Setup!$B$5</f>
        <v>16.6666666666667</v>
      </c>
      <c r="F13" s="6" t="s">
        <v>227</v>
      </c>
    </row>
    <row r="14" customFormat="false" ht="15" hidden="false" customHeight="false" outlineLevel="0" collapsed="false">
      <c r="A14" s="21" t="s">
        <v>228</v>
      </c>
      <c r="B14" s="44" t="n">
        <f aca="false">IFERROR('Sync-Netzwerk'!F16*(60/Setup!$B$21),0)</f>
        <v>376.71</v>
      </c>
      <c r="F14" s="6" t="s">
        <v>229</v>
      </c>
    </row>
    <row r="15" customFormat="false" ht="15" hidden="false" customHeight="false" outlineLevel="0" collapsed="false">
      <c r="A15" s="21" t="s">
        <v>230</v>
      </c>
      <c r="B15" s="45" t="n">
        <f aca="false">B14*Setup!$B$10</f>
        <v>22.6026</v>
      </c>
      <c r="F15" s="6" t="s">
        <v>231</v>
      </c>
    </row>
    <row r="17" customFormat="false" ht="23.85" hidden="false" customHeight="false" outlineLevel="0" collapsed="false">
      <c r="A17" s="8" t="s">
        <v>232</v>
      </c>
      <c r="B17" s="8" t="s">
        <v>233</v>
      </c>
      <c r="C17" s="8" t="s">
        <v>234</v>
      </c>
      <c r="D17" s="8" t="s">
        <v>235</v>
      </c>
      <c r="E17" s="8" t="s">
        <v>236</v>
      </c>
      <c r="F17" s="8" t="s">
        <v>237</v>
      </c>
    </row>
    <row r="18" customFormat="false" ht="15" hidden="false" customHeight="false" outlineLevel="0" collapsed="false">
      <c r="A18" s="21" t="s">
        <v>154</v>
      </c>
      <c r="B18" s="46" t="n">
        <f aca="false">$B$13*Setup!$B$11</f>
        <v>33.3333333333333</v>
      </c>
      <c r="C18" s="38" t="n">
        <f aca="false">IFERROR($B$13*VLOOKUP(A18,'Schadensfall-Katalog'!$A$5:$E$9,2,0)*VLOOKUP(A18,'Schadensfall-Katalog'!$A$5:$E$9,3,0),0)</f>
        <v>1.66666666666667</v>
      </c>
      <c r="D18" s="42" t="n">
        <f aca="false">B18+C18</f>
        <v>35</v>
      </c>
      <c r="E18" s="47" t="n">
        <f aca="false">IFERROR(VLOOKUP(A18,'Schadensfall-Katalog'!$A$5:$E$9,5,0),0)</f>
        <v>2000</v>
      </c>
      <c r="F18" s="6" t="s">
        <v>238</v>
      </c>
    </row>
    <row r="19" customFormat="false" ht="15" hidden="false" customHeight="false" outlineLevel="0" collapsed="false">
      <c r="A19" s="21" t="s">
        <v>157</v>
      </c>
      <c r="B19" s="46" t="n">
        <f aca="false">$B$13*Setup!$B$11</f>
        <v>33.3333333333333</v>
      </c>
      <c r="C19" s="38" t="n">
        <f aca="false">IFERROR($B$13*VLOOKUP(A19,'Schadensfall-Katalog'!$A$5:$E$9,2,0)*VLOOKUP(A19,'Schadensfall-Katalog'!$A$5:$E$9,3,0),0)</f>
        <v>30</v>
      </c>
      <c r="D19" s="42" t="n">
        <f aca="false">B19+C19</f>
        <v>63.3333333333333</v>
      </c>
      <c r="E19" s="47" t="n">
        <f aca="false">IFERROR(VLOOKUP(A19,'Schadensfall-Katalog'!$A$5:$E$9,5,0),0)</f>
        <v>50000</v>
      </c>
      <c r="F19" s="6" t="s">
        <v>239</v>
      </c>
    </row>
    <row r="20" customFormat="false" ht="23.85" hidden="false" customHeight="false" outlineLevel="0" collapsed="false">
      <c r="A20" s="21" t="s">
        <v>160</v>
      </c>
      <c r="B20" s="46" t="n">
        <f aca="false">$B$13*Setup!$B$11</f>
        <v>33.3333333333333</v>
      </c>
      <c r="C20" s="38" t="n">
        <f aca="false">IFERROR($B$13*VLOOKUP(A20,'Schadensfall-Katalog'!$A$5:$E$9,2,0)*VLOOKUP(A20,'Schadensfall-Katalog'!$A$5:$E$9,3,0),0)</f>
        <v>41.6666666666667</v>
      </c>
      <c r="D20" s="42" t="n">
        <f aca="false">B20+C20</f>
        <v>75</v>
      </c>
      <c r="E20" s="47" t="n">
        <f aca="false">IFERROR(VLOOKUP(A20,'Schadensfall-Katalog'!$A$5:$E$9,5,0),0)</f>
        <v>250000</v>
      </c>
      <c r="F20" s="6" t="s">
        <v>240</v>
      </c>
    </row>
    <row r="21" customFormat="false" ht="15" hidden="false" customHeight="false" outlineLevel="0" collapsed="false">
      <c r="A21" s="21" t="s">
        <v>163</v>
      </c>
      <c r="B21" s="46" t="n">
        <f aca="false">$B$13*Setup!$B$11</f>
        <v>33.3333333333333</v>
      </c>
      <c r="C21" s="38" t="n">
        <f aca="false">IFERROR($B$13*VLOOKUP(A21,'Schadensfall-Katalog'!$A$5:$E$9,2,0)*VLOOKUP(A21,'Schadensfall-Katalog'!$A$5:$E$9,3,0),0)</f>
        <v>58.3333333333333</v>
      </c>
      <c r="D21" s="42" t="n">
        <f aca="false">B21+C21</f>
        <v>91.6666666666667</v>
      </c>
      <c r="E21" s="47" t="n">
        <f aca="false">IFERROR(VLOOKUP(A21,'Schadensfall-Katalog'!$A$5:$E$9,5,0),0)</f>
        <v>2000000</v>
      </c>
      <c r="F21" s="6" t="s">
        <v>241</v>
      </c>
    </row>
    <row r="22" customFormat="false" ht="23.85" hidden="false" customHeight="false" outlineLevel="0" collapsed="false">
      <c r="A22" s="21" t="s">
        <v>166</v>
      </c>
      <c r="B22" s="46" t="n">
        <f aca="false">$B$13*Setup!$B$11</f>
        <v>33.3333333333333</v>
      </c>
      <c r="C22" s="38" t="n">
        <f aca="false">IFERROR($B$13*VLOOKUP(A22,'Schadensfall-Katalog'!$A$5:$E$9,2,0)*VLOOKUP(A22,'Schadensfall-Katalog'!$A$5:$E$9,3,0),0)</f>
        <v>83.3333333333333</v>
      </c>
      <c r="D22" s="42" t="n">
        <f aca="false">B22+C22</f>
        <v>116.666666666667</v>
      </c>
      <c r="E22" s="47" t="n">
        <f aca="false">IFERROR(VLOOKUP(A22,'Schadensfall-Katalog'!$A$5:$E$9,5,0),0)</f>
        <v>25000000</v>
      </c>
      <c r="F22" s="6" t="s">
        <v>242</v>
      </c>
    </row>
    <row r="23" customFormat="false" ht="23.85" hidden="false" customHeight="false" outlineLevel="0" collapsed="false">
      <c r="A23" s="21" t="s">
        <v>243</v>
      </c>
      <c r="D23" s="42" t="n">
        <f aca="false">IFERROR(('Sync-Netzwerk'!J16+'Sync-Netzwerk'!K16)/B15,0)</f>
        <v>49.3103448275862</v>
      </c>
      <c r="E23" s="47" t="n">
        <f aca="false">'Sync-Netzwerk'!M16</f>
        <v>250000</v>
      </c>
      <c r="F23" s="6" t="s">
        <v>244</v>
      </c>
    </row>
    <row r="25" customFormat="false" ht="15" hidden="false" customHeight="false" outlineLevel="0" collapsed="false">
      <c r="A25" s="4" t="s">
        <v>245</v>
      </c>
    </row>
    <row r="26" customFormat="false" ht="15" hidden="false" customHeight="false" outlineLevel="0" collapsed="false">
      <c r="A26" s="21" t="s">
        <v>246</v>
      </c>
      <c r="B26" s="48" t="n">
        <f aca="false">COUNT('Sync-Netzwerk'!A5:A14)</f>
        <v>10</v>
      </c>
      <c r="F26" s="6" t="s">
        <v>247</v>
      </c>
    </row>
    <row r="27" customFormat="false" ht="23.85" hidden="false" customHeight="false" outlineLevel="0" collapsed="false">
      <c r="A27" s="21" t="s">
        <v>248</v>
      </c>
      <c r="B27" s="38" t="n">
        <f aca="false">IFERROR((Dashboard!B6+Dashboard!B7+Dashboard!B8+Dashboard!B9)/B26,0)</f>
        <v>927.6592</v>
      </c>
      <c r="F27" s="6" t="s">
        <v>249</v>
      </c>
    </row>
    <row r="28" customFormat="false" ht="15" hidden="false" customHeight="false" outlineLevel="0" collapsed="false">
      <c r="A28" s="21" t="s">
        <v>250</v>
      </c>
      <c r="B28" s="42" t="n">
        <f aca="false">B27*12</f>
        <v>11131.9104</v>
      </c>
      <c r="F28" s="6" t="s">
        <v>251</v>
      </c>
    </row>
    <row r="30" customFormat="false" ht="94.5" hidden="false" customHeight="true" outlineLevel="0" collapsed="false">
      <c r="A30" s="24" t="s">
        <v>252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6"/>
    <col collapsed="false" customWidth="true" hidden="false" outlineLevel="0" max="4" min="2" style="1" width="16"/>
    <col collapsed="false" customWidth="true" hidden="false" outlineLevel="0" max="6" min="5" style="1" width="20"/>
    <col collapsed="false" customWidth="true" hidden="false" outlineLevel="0" max="7" min="7" style="1" width="70"/>
  </cols>
  <sheetData>
    <row r="1" customFormat="false" ht="19.5" hidden="false" customHeight="true" outlineLevel="0" collapsed="false">
      <c r="A1" s="2" t="s">
        <v>253</v>
      </c>
    </row>
    <row r="2" customFormat="false" ht="15" hidden="false" customHeight="true" outlineLevel="0" collapsed="false">
      <c r="A2" s="3" t="s">
        <v>254</v>
      </c>
    </row>
    <row r="4" customFormat="false" ht="15" hidden="false" customHeight="true" outlineLevel="0" collapsed="false">
      <c r="A4" s="7" t="s">
        <v>255</v>
      </c>
      <c r="B4" s="7" t="s">
        <v>256</v>
      </c>
      <c r="C4" s="7" t="s">
        <v>257</v>
      </c>
      <c r="D4" s="7" t="s">
        <v>258</v>
      </c>
      <c r="E4" s="7" t="s">
        <v>259</v>
      </c>
      <c r="F4" s="7" t="s">
        <v>260</v>
      </c>
      <c r="G4" s="7" t="s">
        <v>261</v>
      </c>
    </row>
    <row r="5" customFormat="false" ht="48" hidden="false" customHeight="true" outlineLevel="0" collapsed="false">
      <c r="A5" s="49" t="s">
        <v>3</v>
      </c>
      <c r="B5" s="50" t="n">
        <f aca="false">'Tool-Portfolio'!H11</f>
        <v>61991.6666666667</v>
      </c>
      <c r="C5" s="28" t="n">
        <f aca="false">B5*12</f>
        <v>743900</v>
      </c>
      <c r="D5" s="51" t="n">
        <f aca="false">Setup!$B$15</f>
        <v>0.5</v>
      </c>
      <c r="E5" s="50" t="n">
        <f aca="false">B5*D5</f>
        <v>30995.8333333333</v>
      </c>
      <c r="F5" s="28" t="n">
        <f aca="false">E5*12</f>
        <v>371950</v>
      </c>
      <c r="G5" s="12" t="s">
        <v>262</v>
      </c>
    </row>
    <row r="6" customFormat="false" ht="48" hidden="false" customHeight="true" outlineLevel="0" collapsed="false">
      <c r="A6" s="49" t="s">
        <v>5</v>
      </c>
      <c r="B6" s="50" t="n">
        <f aca="false">'Sync-Netzwerk'!G16</f>
        <v>6278.5</v>
      </c>
      <c r="C6" s="28" t="n">
        <f aca="false">B6*12</f>
        <v>75342</v>
      </c>
      <c r="D6" s="51" t="n">
        <f aca="false">Setup!$B$16</f>
        <v>1</v>
      </c>
      <c r="E6" s="50" t="n">
        <f aca="false">B6*D6</f>
        <v>6278.5</v>
      </c>
      <c r="F6" s="28" t="n">
        <f aca="false">E6*12</f>
        <v>75342</v>
      </c>
      <c r="G6" s="12" t="s">
        <v>263</v>
      </c>
    </row>
    <row r="7" customFormat="false" ht="48" hidden="false" customHeight="true" outlineLevel="0" collapsed="false">
      <c r="A7" s="49" t="s">
        <v>7</v>
      </c>
      <c r="B7" s="50" t="n">
        <f aca="false">'Sync-Netzwerk'!F16*Setup!$B$12*Setup!$B$5</f>
        <v>1883.55</v>
      </c>
      <c r="C7" s="28" t="n">
        <f aca="false">B7*12</f>
        <v>22602.6</v>
      </c>
      <c r="D7" s="51" t="n">
        <f aca="false">Setup!$B$16</f>
        <v>1</v>
      </c>
      <c r="E7" s="50" t="n">
        <f aca="false">B7*D7</f>
        <v>1883.55</v>
      </c>
      <c r="F7" s="28" t="n">
        <f aca="false">E7*12</f>
        <v>22602.6</v>
      </c>
      <c r="G7" s="12" t="s">
        <v>264</v>
      </c>
    </row>
    <row r="8" customFormat="false" ht="48" hidden="false" customHeight="true" outlineLevel="0" collapsed="false">
      <c r="A8" s="49" t="s">
        <v>265</v>
      </c>
      <c r="B8" s="50" t="n">
        <f aca="false">'Sync-Netzwerk'!J16</f>
        <v>753.42</v>
      </c>
      <c r="C8" s="28" t="n">
        <f aca="false">B8*12</f>
        <v>9041.04</v>
      </c>
      <c r="D8" s="51" t="n">
        <f aca="false">Setup!$B$16</f>
        <v>1</v>
      </c>
      <c r="E8" s="50" t="n">
        <f aca="false">B8*D8</f>
        <v>753.42</v>
      </c>
      <c r="F8" s="28" t="n">
        <f aca="false">E8*12</f>
        <v>9041.04</v>
      </c>
      <c r="G8" s="12" t="s">
        <v>266</v>
      </c>
    </row>
    <row r="9" customFormat="false" ht="48" hidden="false" customHeight="true" outlineLevel="0" collapsed="false">
      <c r="A9" s="49" t="s">
        <v>11</v>
      </c>
      <c r="B9" s="50" t="n">
        <f aca="false">'Sync-Netzwerk'!K16</f>
        <v>361.122</v>
      </c>
      <c r="C9" s="28" t="n">
        <f aca="false">B9*12</f>
        <v>4333.464</v>
      </c>
      <c r="D9" s="51" t="n">
        <f aca="false">Setup!$B$16</f>
        <v>1</v>
      </c>
      <c r="E9" s="50" t="n">
        <f aca="false">B9*D9</f>
        <v>361.122</v>
      </c>
      <c r="F9" s="28" t="n">
        <f aca="false">E9*12</f>
        <v>4333.464</v>
      </c>
      <c r="G9" s="12" t="s">
        <v>267</v>
      </c>
    </row>
    <row r="10" customFormat="false" ht="39.75" hidden="false" customHeight="true" outlineLevel="0" collapsed="false">
      <c r="A10" s="52" t="s">
        <v>268</v>
      </c>
      <c r="B10" s="53" t="n">
        <f aca="false">SUM(B5:B9)</f>
        <v>71268.2586666667</v>
      </c>
      <c r="C10" s="53" t="n">
        <f aca="false">B10*12</f>
        <v>855219.104</v>
      </c>
      <c r="D10" s="54" t="n">
        <f aca="false">IFERROR(E10/B10,0)</f>
        <v>0.56508221313073</v>
      </c>
      <c r="E10" s="53" t="n">
        <f aca="false">SUM(E5:E9)</f>
        <v>40272.4253333333</v>
      </c>
      <c r="F10" s="53" t="n">
        <f aca="false">E10*12</f>
        <v>483269.104</v>
      </c>
      <c r="G10" s="55" t="s">
        <v>269</v>
      </c>
    </row>
    <row r="11" customFormat="false" ht="15" hidden="false" customHeight="true" outlineLevel="0" collapsed="false"/>
    <row r="12" customFormat="false" ht="15" hidden="false" customHeight="true" outlineLevel="0" collapsed="false">
      <c r="A12" s="56" t="s">
        <v>270</v>
      </c>
    </row>
    <row r="13" customFormat="false" ht="43.5" hidden="false" customHeight="true" outlineLevel="0" collapsed="false">
      <c r="A13" s="57" t="s">
        <v>271</v>
      </c>
      <c r="B13" s="58" t="n">
        <f aca="false">B8+B9</f>
        <v>1114.542</v>
      </c>
      <c r="C13" s="58" t="n">
        <f aca="false">B13*12</f>
        <v>13374.504</v>
      </c>
      <c r="D13" s="55"/>
      <c r="G13" s="55" t="s">
        <v>272</v>
      </c>
    </row>
    <row r="14" customFormat="false" ht="36" hidden="false" customHeight="true" outlineLevel="0" collapsed="false">
      <c r="A14" s="9" t="s">
        <v>273</v>
      </c>
      <c r="B14" s="59" t="n">
        <f aca="false">IFERROR(B13/(B6+B7+B13),0)</f>
        <v>0.120145631067961</v>
      </c>
      <c r="C14" s="60"/>
      <c r="D14" s="12"/>
      <c r="G14" s="12" t="s">
        <v>274</v>
      </c>
    </row>
    <row r="15" customFormat="false" ht="15" hidden="false" customHeight="true" outlineLevel="0" collapsed="false"/>
    <row r="16" customFormat="false" ht="15" hidden="false" customHeight="true" outlineLevel="0" collapsed="false">
      <c r="A16" s="4" t="s">
        <v>275</v>
      </c>
    </row>
    <row r="17" customFormat="false" ht="42" hidden="false" customHeight="true" outlineLevel="0" collapsed="false">
      <c r="A17" s="9" t="s">
        <v>276</v>
      </c>
      <c r="B17" s="61" t="n">
        <f aca="false">'Tool-Portfolio'!G11+'Sync-Netzwerk'!F16*(1+Setup!$B$12)</f>
        <v>701.537166666667</v>
      </c>
      <c r="C17" s="60"/>
      <c r="D17" s="12"/>
      <c r="G17" s="12" t="s">
        <v>277</v>
      </c>
    </row>
    <row r="18" customFormat="false" ht="42" hidden="false" customHeight="true" outlineLevel="0" collapsed="false">
      <c r="A18" s="9" t="s">
        <v>278</v>
      </c>
      <c r="B18" s="62" t="n">
        <f aca="false">IFERROR(B17/(Setup!$B$8*Setup!$B$13),0)</f>
        <v>4.89444534883721</v>
      </c>
      <c r="C18" s="60"/>
      <c r="D18" s="12"/>
      <c r="G18" s="12" t="s">
        <v>279</v>
      </c>
    </row>
    <row r="19" customFormat="false" ht="42" hidden="false" customHeight="true" outlineLevel="0" collapsed="false">
      <c r="A19" s="9" t="s">
        <v>98</v>
      </c>
      <c r="B19" s="63" t="n">
        <f aca="false">Setup!$B$14</f>
        <v>20</v>
      </c>
      <c r="C19" s="60"/>
      <c r="D19" s="12"/>
      <c r="G19" s="12" t="s">
        <v>280</v>
      </c>
    </row>
    <row r="20" customFormat="false" ht="42" hidden="false" customHeight="true" outlineLevel="0" collapsed="false">
      <c r="A20" s="9" t="s">
        <v>281</v>
      </c>
      <c r="B20" s="64" t="n">
        <f aca="false">IFERROR(B18/B19,0)</f>
        <v>0.24472226744186</v>
      </c>
      <c r="C20" s="60"/>
      <c r="D20" s="12"/>
      <c r="G20" s="12" t="s">
        <v>282</v>
      </c>
    </row>
    <row r="21" customFormat="false" ht="42" hidden="false" customHeight="true" outlineLevel="0" collapsed="false">
      <c r="A21" s="9" t="s">
        <v>283</v>
      </c>
      <c r="B21" s="50" t="n">
        <f aca="false">Setup!$B$5</f>
        <v>100</v>
      </c>
      <c r="C21" s="60"/>
      <c r="D21" s="12"/>
      <c r="G21" s="12" t="s">
        <v>284</v>
      </c>
    </row>
    <row r="22" customFormat="false" ht="23.25" hidden="false" customHeight="true" outlineLevel="0" collapsed="false">
      <c r="A22" s="9" t="s">
        <v>285</v>
      </c>
      <c r="B22" s="61" t="n">
        <f aca="false">'Tool-Portfolio'!G11*Setup!$B$15+'Sync-Netzwerk'!F16*(1+Setup!$B$12)*Setup!$B$16</f>
        <v>391.578833333333</v>
      </c>
      <c r="G22" s="12" t="s">
        <v>286</v>
      </c>
    </row>
    <row r="23" customFormat="false" ht="48" hidden="false" customHeight="true" outlineLevel="0" collapsed="false">
      <c r="A23" s="9" t="s">
        <v>287</v>
      </c>
      <c r="B23" s="61" t="n">
        <f aca="false">IFERROR(B22/(Setup!$B$8*Setup!$B$13),0)</f>
        <v>2.73194534883721</v>
      </c>
      <c r="G23" s="12" t="s">
        <v>288</v>
      </c>
    </row>
    <row r="25" customFormat="false" ht="15" hidden="false" customHeight="true" outlineLevel="0" collapsed="false">
      <c r="A25" s="65" t="s">
        <v>289</v>
      </c>
      <c r="B25" s="65"/>
      <c r="C25" s="65"/>
      <c r="D25" s="65"/>
      <c r="E25" s="65"/>
      <c r="F25" s="65"/>
      <c r="G25" s="65"/>
    </row>
    <row r="27" customFormat="false" ht="15" hidden="false" customHeight="false" outlineLevel="0" collapsed="false">
      <c r="A27" s="56" t="s">
        <v>290</v>
      </c>
    </row>
    <row r="28" customFormat="false" ht="46.25" hidden="false" customHeight="false" outlineLevel="0" collapsed="false">
      <c r="A28" s="21" t="s">
        <v>291</v>
      </c>
      <c r="B28" s="66" t="n">
        <f aca="false">'Sync-Netzwerk'!M16</f>
        <v>250000</v>
      </c>
      <c r="G28" s="6" t="s">
        <v>292</v>
      </c>
    </row>
    <row r="29" customFormat="false" ht="35.05" hidden="false" customHeight="false" outlineLevel="0" collapsed="false">
      <c r="A29" s="21" t="s">
        <v>293</v>
      </c>
      <c r="B29" s="67" t="n">
        <f aca="false">IFERROR(B28/B10,0)</f>
        <v>3.50787299531606</v>
      </c>
      <c r="G29" s="6" t="s">
        <v>294</v>
      </c>
    </row>
    <row r="31" customFormat="false" ht="139.5" hidden="false" customHeight="true" outlineLevel="0" collapsed="false">
      <c r="A31" s="24" t="s">
        <v>295</v>
      </c>
    </row>
  </sheetData>
  <mergeCells count="1">
    <mergeCell ref="A25:G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3" min="2" style="0" width="62"/>
  </cols>
  <sheetData>
    <row r="1" customFormat="false" ht="19.7" hidden="false" customHeight="false" outlineLevel="0" collapsed="false">
      <c r="A1" s="2" t="s">
        <v>296</v>
      </c>
    </row>
    <row r="2" customFormat="false" ht="15" hidden="false" customHeight="false" outlineLevel="0" collapsed="false">
      <c r="A2" s="40" t="s">
        <v>297</v>
      </c>
    </row>
    <row r="4" customFormat="false" ht="15" hidden="false" customHeight="false" outlineLevel="0" collapsed="false">
      <c r="A4" s="8" t="s">
        <v>298</v>
      </c>
      <c r="B4" s="8" t="s">
        <v>299</v>
      </c>
      <c r="C4" s="8" t="s">
        <v>300</v>
      </c>
    </row>
    <row r="5" customFormat="false" ht="94.5" hidden="false" customHeight="true" outlineLevel="0" collapsed="false">
      <c r="A5" s="5" t="s">
        <v>301</v>
      </c>
      <c r="B5" s="6" t="s">
        <v>302</v>
      </c>
      <c r="C5" s="6" t="s">
        <v>303</v>
      </c>
    </row>
    <row r="6" customFormat="false" ht="94.5" hidden="false" customHeight="true" outlineLevel="0" collapsed="false">
      <c r="A6" s="5" t="s">
        <v>304</v>
      </c>
      <c r="B6" s="6" t="s">
        <v>305</v>
      </c>
      <c r="C6" s="6" t="s">
        <v>306</v>
      </c>
    </row>
    <row r="7" customFormat="false" ht="94.5" hidden="false" customHeight="true" outlineLevel="0" collapsed="false">
      <c r="A7" s="5" t="s">
        <v>307</v>
      </c>
      <c r="B7" s="6" t="s">
        <v>308</v>
      </c>
      <c r="C7" s="6" t="s">
        <v>309</v>
      </c>
    </row>
    <row r="8" customFormat="false" ht="94.5" hidden="false" customHeight="true" outlineLevel="0" collapsed="false">
      <c r="A8" s="5" t="s">
        <v>310</v>
      </c>
      <c r="B8" s="6" t="s">
        <v>311</v>
      </c>
      <c r="C8" s="6" t="s">
        <v>312</v>
      </c>
    </row>
    <row r="9" customFormat="false" ht="94.5" hidden="false" customHeight="true" outlineLevel="0" collapsed="false">
      <c r="A9" s="5" t="s">
        <v>313</v>
      </c>
      <c r="B9" s="6" t="s">
        <v>314</v>
      </c>
      <c r="C9" s="6" t="s">
        <v>315</v>
      </c>
    </row>
    <row r="11" customFormat="false" ht="57.45" hidden="false" customHeight="false" outlineLevel="0" collapsed="false">
      <c r="A11" s="24" t="s">
        <v>316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46"/>
    <col collapsed="false" customWidth="true" hidden="false" outlineLevel="0" max="3" min="3" style="0" width="22"/>
    <col collapsed="false" customWidth="true" hidden="false" outlineLevel="0" max="4" min="4" style="0" width="56"/>
  </cols>
  <sheetData>
    <row r="1" customFormat="false" ht="19.7" hidden="false" customHeight="false" outlineLevel="0" collapsed="false">
      <c r="A1" s="2" t="s">
        <v>317</v>
      </c>
    </row>
    <row r="2" customFormat="false" ht="15" hidden="false" customHeight="false" outlineLevel="0" collapsed="false">
      <c r="A2" s="40" t="s">
        <v>318</v>
      </c>
    </row>
    <row r="4" customFormat="false" ht="15" hidden="false" customHeight="false" outlineLevel="0" collapsed="false">
      <c r="A4" s="8" t="s">
        <v>319</v>
      </c>
      <c r="B4" s="8" t="s">
        <v>174</v>
      </c>
      <c r="C4" s="8" t="s">
        <v>320</v>
      </c>
      <c r="D4" s="8" t="s">
        <v>321</v>
      </c>
    </row>
    <row r="5" customFormat="false" ht="57.75" hidden="false" customHeight="true" outlineLevel="0" collapsed="false">
      <c r="A5" s="5" t="s">
        <v>322</v>
      </c>
      <c r="B5" s="6" t="s">
        <v>323</v>
      </c>
      <c r="C5" s="68" t="s">
        <v>324</v>
      </c>
      <c r="D5" s="6" t="s">
        <v>325</v>
      </c>
    </row>
    <row r="6" customFormat="false" ht="57.75" hidden="false" customHeight="true" outlineLevel="0" collapsed="false">
      <c r="A6" s="5" t="s">
        <v>326</v>
      </c>
      <c r="B6" s="6" t="s">
        <v>327</v>
      </c>
      <c r="C6" s="68" t="s">
        <v>328</v>
      </c>
      <c r="D6" s="6" t="s">
        <v>329</v>
      </c>
    </row>
    <row r="7" customFormat="false" ht="57.75" hidden="false" customHeight="true" outlineLevel="0" collapsed="false">
      <c r="A7" s="5" t="s">
        <v>330</v>
      </c>
      <c r="B7" s="6" t="s">
        <v>331</v>
      </c>
      <c r="C7" s="68" t="s">
        <v>332</v>
      </c>
      <c r="D7" s="6" t="s">
        <v>333</v>
      </c>
    </row>
    <row r="8" customFormat="false" ht="57.75" hidden="false" customHeight="true" outlineLevel="0" collapsed="false">
      <c r="A8" s="5" t="s">
        <v>334</v>
      </c>
      <c r="B8" s="6" t="s">
        <v>335</v>
      </c>
      <c r="C8" s="69" t="s">
        <v>336</v>
      </c>
      <c r="D8" s="6" t="s">
        <v>337</v>
      </c>
    </row>
    <row r="9" customFormat="false" ht="57.75" hidden="false" customHeight="true" outlineLevel="0" collapsed="false">
      <c r="A9" s="5" t="s">
        <v>338</v>
      </c>
      <c r="B9" s="6" t="s">
        <v>339</v>
      </c>
      <c r="C9" s="68" t="s">
        <v>340</v>
      </c>
      <c r="D9" s="6" t="s">
        <v>341</v>
      </c>
    </row>
    <row r="10" customFormat="false" ht="57.75" hidden="false" customHeight="true" outlineLevel="0" collapsed="false">
      <c r="A10" s="5" t="s">
        <v>342</v>
      </c>
      <c r="B10" s="6" t="s">
        <v>343</v>
      </c>
      <c r="C10" s="68" t="s">
        <v>344</v>
      </c>
      <c r="D10" s="6" t="s">
        <v>345</v>
      </c>
    </row>
    <row r="11" customFormat="false" ht="57.75" hidden="false" customHeight="true" outlineLevel="0" collapsed="false">
      <c r="A11" s="5" t="s">
        <v>346</v>
      </c>
      <c r="B11" s="6" t="s">
        <v>347</v>
      </c>
      <c r="C11" s="68" t="s">
        <v>348</v>
      </c>
      <c r="D11" s="6" t="s">
        <v>349</v>
      </c>
    </row>
    <row r="12" customFormat="false" ht="57.75" hidden="false" customHeight="true" outlineLevel="0" collapsed="false">
      <c r="A12" s="5" t="s">
        <v>350</v>
      </c>
      <c r="B12" s="6" t="s">
        <v>351</v>
      </c>
      <c r="C12" s="68" t="s">
        <v>340</v>
      </c>
      <c r="D12" s="6" t="s">
        <v>352</v>
      </c>
    </row>
    <row r="13" customFormat="false" ht="57.75" hidden="false" customHeight="true" outlineLevel="0" collapsed="false">
      <c r="A13" s="5" t="s">
        <v>353</v>
      </c>
      <c r="B13" s="6" t="s">
        <v>354</v>
      </c>
      <c r="C13" s="69" t="s">
        <v>355</v>
      </c>
      <c r="D13" s="6" t="s">
        <v>356</v>
      </c>
    </row>
    <row r="14" customFormat="false" ht="57.75" hidden="false" customHeight="true" outlineLevel="0" collapsed="false">
      <c r="A14" s="5" t="s">
        <v>357</v>
      </c>
      <c r="B14" s="6" t="s">
        <v>358</v>
      </c>
      <c r="C14" s="68" t="s">
        <v>340</v>
      </c>
      <c r="D14" s="6" t="s">
        <v>359</v>
      </c>
    </row>
    <row r="15" customFormat="false" ht="57.75" hidden="false" customHeight="true" outlineLevel="0" collapsed="false">
      <c r="A15" s="5" t="s">
        <v>360</v>
      </c>
      <c r="B15" s="6" t="s">
        <v>361</v>
      </c>
      <c r="C15" s="69" t="s">
        <v>362</v>
      </c>
      <c r="D15" s="6" t="s">
        <v>363</v>
      </c>
    </row>
    <row r="16" customFormat="false" ht="57.75" hidden="false" customHeight="true" outlineLevel="0" collapsed="false">
      <c r="A16" s="5" t="s">
        <v>364</v>
      </c>
      <c r="B16" s="6" t="s">
        <v>365</v>
      </c>
      <c r="C16" s="68" t="s">
        <v>366</v>
      </c>
      <c r="D16" s="6" t="s">
        <v>367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2"/>
    <col collapsed="false" customWidth="true" hidden="false" outlineLevel="0" max="2" min="2" style="1" width="115"/>
  </cols>
  <sheetData>
    <row r="1" customFormat="false" ht="19.5" hidden="false" customHeight="true" outlineLevel="0" collapsed="false">
      <c r="A1" s="2" t="s">
        <v>368</v>
      </c>
    </row>
    <row r="2" customFormat="false" ht="15" hidden="false" customHeight="true" outlineLevel="0" collapsed="false">
      <c r="A2" s="3" t="s">
        <v>369</v>
      </c>
    </row>
    <row r="4" customFormat="false" ht="15" hidden="false" customHeight="true" outlineLevel="0" collapsed="false">
      <c r="A4" s="7" t="s">
        <v>370</v>
      </c>
      <c r="B4" s="7" t="s">
        <v>371</v>
      </c>
    </row>
    <row r="5" customFormat="false" ht="57.75" hidden="false" customHeight="true" outlineLevel="0" collapsed="false">
      <c r="A5" s="70" t="s">
        <v>58</v>
      </c>
      <c r="B5" s="12" t="s">
        <v>372</v>
      </c>
    </row>
    <row r="6" customFormat="false" ht="57.75" hidden="false" customHeight="true" outlineLevel="0" collapsed="false">
      <c r="A6" s="70" t="s">
        <v>373</v>
      </c>
      <c r="B6" s="12" t="s">
        <v>374</v>
      </c>
    </row>
    <row r="7" customFormat="false" ht="57.75" hidden="false" customHeight="true" outlineLevel="0" collapsed="false">
      <c r="A7" s="70" t="s">
        <v>123</v>
      </c>
      <c r="B7" s="12" t="s">
        <v>375</v>
      </c>
    </row>
    <row r="8" customFormat="false" ht="57.75" hidden="false" customHeight="true" outlineLevel="0" collapsed="false">
      <c r="A8" s="70" t="s">
        <v>376</v>
      </c>
      <c r="B8" s="12" t="s">
        <v>377</v>
      </c>
    </row>
    <row r="9" customFormat="false" ht="57.75" hidden="false" customHeight="true" outlineLevel="0" collapsed="false">
      <c r="A9" s="70" t="s">
        <v>90</v>
      </c>
      <c r="B9" s="12" t="s">
        <v>378</v>
      </c>
    </row>
    <row r="10" customFormat="false" ht="57.75" hidden="false" customHeight="true" outlineLevel="0" collapsed="false">
      <c r="A10" s="70" t="s">
        <v>379</v>
      </c>
      <c r="B10" s="12" t="s">
        <v>380</v>
      </c>
    </row>
    <row r="11" customFormat="false" ht="57.75" hidden="false" customHeight="true" outlineLevel="0" collapsed="false">
      <c r="A11" s="70" t="s">
        <v>381</v>
      </c>
      <c r="B11" s="12" t="s">
        <v>382</v>
      </c>
    </row>
    <row r="12" customFormat="false" ht="57.75" hidden="false" customHeight="true" outlineLevel="0" collapsed="false">
      <c r="A12" s="70" t="s">
        <v>383</v>
      </c>
      <c r="B12" s="12" t="s">
        <v>384</v>
      </c>
    </row>
    <row r="13" customFormat="false" ht="57.75" hidden="false" customHeight="true" outlineLevel="0" collapsed="false">
      <c r="A13" s="70" t="s">
        <v>150</v>
      </c>
      <c r="B13" s="12" t="s">
        <v>385</v>
      </c>
    </row>
    <row r="14" customFormat="false" ht="57.75" hidden="false" customHeight="true" outlineLevel="0" collapsed="false">
      <c r="A14" s="70" t="s">
        <v>386</v>
      </c>
      <c r="B14" s="12" t="s">
        <v>387</v>
      </c>
    </row>
    <row r="15" customFormat="false" ht="57.75" hidden="false" customHeight="true" outlineLevel="0" collapsed="false">
      <c r="A15" s="70" t="s">
        <v>388</v>
      </c>
      <c r="B15" s="12" t="s">
        <v>389</v>
      </c>
    </row>
    <row r="16" customFormat="false" ht="57.75" hidden="false" customHeight="true" outlineLevel="0" collapsed="false">
      <c r="A16" s="70" t="s">
        <v>268</v>
      </c>
      <c r="B16" s="12" t="s">
        <v>390</v>
      </c>
    </row>
    <row r="17" customFormat="false" ht="45.75" hidden="false" customHeight="true" outlineLevel="0" collapsed="false">
      <c r="A17" s="70" t="s">
        <v>391</v>
      </c>
      <c r="B17" s="12" t="s">
        <v>392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2026-07-07T09:24:59Z</dcterms:created>
  <dc:creator>openpyxl</dc:creator>
  <dc:description/>
  <dc:language>en-US</dc:language>
  <cp:lastModifiedBy/>
  <dcterms:modified xsi:type="dcterms:W3CDTF">2026-08-30T08:54:13Z</dcterms:modified>
  <cp:revision>2</cp:revision>
  <dc:subject/>
  <dc:title>Waste Kalkulator für tools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